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7185"/>
  </bookViews>
  <sheets>
    <sheet name="Lees mij eerst" sheetId="1" r:id="rId1"/>
    <sheet name="Kentallen" sheetId="2" r:id="rId2"/>
    <sheet name="Hulptabel" sheetId="3" r:id="rId3"/>
    <sheet name="Vlootplan" sheetId="4" r:id="rId4"/>
    <sheet name="Investeringsprognose" sheetId="5" r:id="rId5"/>
    <sheet name="Stellinglengte" sheetId="6" r:id="rId6"/>
  </sheets>
  <definedNames>
    <definedName name="_xlnm._FilterDatabase" localSheetId="2" hidden="1">Hulptabel!$A$2:$U$2</definedName>
    <definedName name="Aanschafbudget">Kentallen!$F$7</definedName>
    <definedName name="Deler">Kentallen!$F$76</definedName>
    <definedName name="jaar">Hulptabel!$M$8</definedName>
    <definedName name="levensduur">Investeringsprognose!$A$3</definedName>
    <definedName name="peiljaar">Hulptabel!$M$8</definedName>
    <definedName name="_xlnm.Print_Area" localSheetId="2">Hulptabel!$A$2:$Y$152</definedName>
    <definedName name="_xlnm.Print_Area" localSheetId="1">Kentallen!$B$26:$H$85</definedName>
    <definedName name="_xlnm.Print_Area" localSheetId="3">Vlootplan!$A$1:$CM$29</definedName>
    <definedName name="_xlnm.Print_Titles" localSheetId="2">Hulptabel!$2:$2</definedName>
    <definedName name="_xlnm.Print_Titles" localSheetId="4">Investeringsprognose!$A:$A,Investeringsprognose!$1:$3</definedName>
    <definedName name="_xlnm.Print_Titles" localSheetId="1">Kentallen!$25:$25</definedName>
    <definedName name="Reductie">Hulptabel!$O$39</definedName>
    <definedName name="Tweedehands">Hulptabel!$O$34</definedName>
  </definedNames>
  <calcPr calcId="152511" calcMode="manual" refMode="R1C1"/>
</workbook>
</file>

<file path=xl/calcChain.xml><?xml version="1.0" encoding="utf-8"?>
<calcChain xmlns="http://schemas.openxmlformats.org/spreadsheetml/2006/main">
  <c r="D2" i="2" l="1"/>
  <c r="I13" i="6" l="1"/>
  <c r="J13" i="6"/>
  <c r="I12" i="6"/>
  <c r="G7" i="6" l="1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E7" i="6" s="1"/>
  <c r="H18" i="6"/>
  <c r="J17" i="6"/>
  <c r="F7" i="6"/>
  <c r="H19" i="6"/>
  <c r="F18" i="6" l="1"/>
  <c r="F20" i="6"/>
  <c r="J12" i="6"/>
  <c r="I10" i="6"/>
  <c r="I11" i="6"/>
  <c r="E5" i="6"/>
  <c r="E3" i="6"/>
  <c r="A6" i="6"/>
  <c r="AE16" i="6"/>
  <c r="AD16" i="6"/>
  <c r="AC16" i="6"/>
  <c r="E4" i="6"/>
  <c r="S3" i="6"/>
  <c r="R3" i="6"/>
  <c r="X3" i="6"/>
  <c r="W3" i="6"/>
  <c r="V3" i="6"/>
  <c r="U3" i="6"/>
  <c r="T3" i="6"/>
  <c r="Q3" i="6"/>
  <c r="P3" i="6"/>
  <c r="O3" i="6"/>
  <c r="N3" i="6"/>
  <c r="M3" i="6"/>
  <c r="L3" i="6"/>
  <c r="K3" i="6"/>
  <c r="J3" i="6"/>
  <c r="I3" i="6"/>
  <c r="H3" i="6"/>
  <c r="G3" i="6"/>
  <c r="F3" i="6"/>
  <c r="I48" i="6"/>
  <c r="H48" i="6"/>
  <c r="F48" i="6"/>
  <c r="G48" i="6" s="1"/>
  <c r="I47" i="6"/>
  <c r="H47" i="6"/>
  <c r="F47" i="6"/>
  <c r="G47" i="6" s="1"/>
  <c r="I46" i="6"/>
  <c r="H46" i="6"/>
  <c r="F46" i="6"/>
  <c r="G46" i="6" s="1"/>
  <c r="I45" i="6"/>
  <c r="H45" i="6"/>
  <c r="F45" i="6"/>
  <c r="G45" i="6" s="1"/>
  <c r="I44" i="6"/>
  <c r="H44" i="6"/>
  <c r="F44" i="6"/>
  <c r="G44" i="6" s="1"/>
  <c r="I43" i="6"/>
  <c r="H43" i="6"/>
  <c r="F43" i="6"/>
  <c r="G43" i="6" s="1"/>
  <c r="I42" i="6"/>
  <c r="H42" i="6"/>
  <c r="F42" i="6"/>
  <c r="G42" i="6" s="1"/>
  <c r="I41" i="6"/>
  <c r="H41" i="6"/>
  <c r="F41" i="6"/>
  <c r="G41" i="6" s="1"/>
  <c r="I40" i="6"/>
  <c r="H40" i="6"/>
  <c r="F40" i="6"/>
  <c r="G40" i="6" s="1"/>
  <c r="I39" i="6"/>
  <c r="H39" i="6"/>
  <c r="F39" i="6"/>
  <c r="G39" i="6" s="1"/>
  <c r="I38" i="6"/>
  <c r="H38" i="6"/>
  <c r="F38" i="6"/>
  <c r="G38" i="6" s="1"/>
  <c r="I37" i="6"/>
  <c r="H37" i="6"/>
  <c r="F37" i="6"/>
  <c r="G37" i="6" s="1"/>
  <c r="I36" i="6"/>
  <c r="H36" i="6"/>
  <c r="F36" i="6"/>
  <c r="G36" i="6" s="1"/>
  <c r="I35" i="6"/>
  <c r="H35" i="6"/>
  <c r="F35" i="6"/>
  <c r="G35" i="6" s="1"/>
  <c r="I34" i="6"/>
  <c r="H34" i="6"/>
  <c r="F34" i="6"/>
  <c r="G34" i="6" s="1"/>
  <c r="I33" i="6"/>
  <c r="H33" i="6"/>
  <c r="F33" i="6"/>
  <c r="G33" i="6" s="1"/>
  <c r="I32" i="6"/>
  <c r="H32" i="6"/>
  <c r="F32" i="6"/>
  <c r="G32" i="6" s="1"/>
  <c r="I31" i="6"/>
  <c r="H31" i="6"/>
  <c r="F31" i="6"/>
  <c r="G31" i="6" s="1"/>
  <c r="I30" i="6"/>
  <c r="H30" i="6"/>
  <c r="F30" i="6"/>
  <c r="I29" i="6"/>
  <c r="H29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I23" i="6"/>
  <c r="H23" i="6"/>
  <c r="F23" i="6"/>
  <c r="I22" i="6"/>
  <c r="H22" i="6"/>
  <c r="F22" i="6"/>
  <c r="I21" i="6"/>
  <c r="H21" i="6"/>
  <c r="F21" i="6"/>
  <c r="I20" i="6"/>
  <c r="H20" i="6"/>
  <c r="C20" i="6"/>
  <c r="I19" i="6"/>
  <c r="F19" i="6"/>
  <c r="AE18" i="6"/>
  <c r="AD18" i="6"/>
  <c r="AC18" i="6"/>
  <c r="AB18" i="6"/>
  <c r="AA18" i="6"/>
  <c r="Z18" i="6"/>
  <c r="Y18" i="6"/>
  <c r="X18" i="6"/>
  <c r="V18" i="6"/>
  <c r="W18" i="6"/>
  <c r="U18" i="6"/>
  <c r="T18" i="6"/>
  <c r="S18" i="6"/>
  <c r="R18" i="6"/>
  <c r="Q18" i="6"/>
  <c r="P18" i="6"/>
  <c r="M18" i="6"/>
  <c r="L18" i="6"/>
  <c r="O18" i="6"/>
  <c r="N18" i="6"/>
  <c r="K18" i="6"/>
  <c r="J18" i="6"/>
  <c r="D18" i="6"/>
  <c r="AB16" i="6"/>
  <c r="AA16" i="6"/>
  <c r="Z16" i="6"/>
  <c r="Y16" i="6"/>
  <c r="X16" i="6"/>
  <c r="V16" i="6"/>
  <c r="W16" i="6"/>
  <c r="U16" i="6"/>
  <c r="T16" i="6"/>
  <c r="S16" i="6"/>
  <c r="R16" i="6"/>
  <c r="Q16" i="6"/>
  <c r="P16" i="6"/>
  <c r="M16" i="6"/>
  <c r="L16" i="6"/>
  <c r="O16" i="6"/>
  <c r="N16" i="6"/>
  <c r="K16" i="6"/>
  <c r="J16" i="6"/>
  <c r="U13" i="6"/>
  <c r="W9" i="6"/>
  <c r="D5" i="6" s="1"/>
  <c r="AB5" i="6"/>
  <c r="AB6" i="6" s="1"/>
  <c r="G23" i="6" l="1"/>
  <c r="O6" i="6"/>
  <c r="S17" i="6" s="1"/>
  <c r="N6" i="6"/>
  <c r="W6" i="6"/>
  <c r="AA17" i="6" s="1"/>
  <c r="F6" i="6"/>
  <c r="X6" i="6"/>
  <c r="AB17" i="6" s="1"/>
  <c r="M6" i="6"/>
  <c r="I6" i="6"/>
  <c r="M17" i="6" s="1"/>
  <c r="R6" i="6"/>
  <c r="V17" i="6" s="1"/>
  <c r="AA6" i="6"/>
  <c r="AE17" i="6" s="1"/>
  <c r="J6" i="6"/>
  <c r="N17" i="6" s="1"/>
  <c r="S6" i="6"/>
  <c r="W17" i="6" s="1"/>
  <c r="G6" i="6"/>
  <c r="K17" i="6" s="1"/>
  <c r="K6" i="6"/>
  <c r="O17" i="6" s="1"/>
  <c r="P6" i="6"/>
  <c r="U6" i="6"/>
  <c r="Y17" i="6" s="1"/>
  <c r="Y6" i="6"/>
  <c r="AC17" i="6" s="1"/>
  <c r="H6" i="6"/>
  <c r="L6" i="6"/>
  <c r="P17" i="6" s="1"/>
  <c r="Q6" i="6"/>
  <c r="V6" i="6"/>
  <c r="Z6" i="6"/>
  <c r="AD17" i="6" s="1"/>
  <c r="T6" i="6"/>
  <c r="X17" i="6" s="1"/>
  <c r="AC3" i="6"/>
  <c r="G18" i="6"/>
  <c r="J11" i="6" s="1"/>
  <c r="G27" i="6"/>
  <c r="Q17" i="6"/>
  <c r="R17" i="6"/>
  <c r="I18" i="6"/>
  <c r="G22" i="6"/>
  <c r="G26" i="6"/>
  <c r="G30" i="6"/>
  <c r="G21" i="6"/>
  <c r="G25" i="6"/>
  <c r="G29" i="6"/>
  <c r="L17" i="6"/>
  <c r="G19" i="6"/>
  <c r="G24" i="6"/>
  <c r="G28" i="6"/>
  <c r="G20" i="6"/>
  <c r="D3" i="5"/>
  <c r="Z17" i="6" l="1"/>
  <c r="E6" i="6"/>
  <c r="T17" i="6"/>
  <c r="U17" i="6"/>
  <c r="AC6" i="6"/>
  <c r="CK4" i="4"/>
  <c r="CJ4" i="4"/>
  <c r="CG4" i="4"/>
  <c r="CF4" i="4"/>
  <c r="CC4" i="4"/>
  <c r="CB4" i="4"/>
  <c r="BY4" i="4"/>
  <c r="BX4" i="4"/>
  <c r="BU4" i="4"/>
  <c r="BP4" i="4"/>
  <c r="CM4" i="4" s="1"/>
  <c r="BN4" i="4"/>
  <c r="BM4" i="4"/>
  <c r="BL4" i="4"/>
  <c r="CI4" i="4" s="1"/>
  <c r="BJ4" i="4"/>
  <c r="BI4" i="4"/>
  <c r="BH4" i="4"/>
  <c r="CE4" i="4" s="1"/>
  <c r="BF4" i="4"/>
  <c r="BE4" i="4"/>
  <c r="BD4" i="4"/>
  <c r="CA4" i="4" s="1"/>
  <c r="BB4" i="4"/>
  <c r="BA4" i="4"/>
  <c r="AZ4" i="4"/>
  <c r="BW4" i="4" s="1"/>
  <c r="AX4" i="4"/>
  <c r="AS4" i="4"/>
  <c r="AR4" i="4"/>
  <c r="BO4" i="4" s="1"/>
  <c r="CL4" i="4" s="1"/>
  <c r="AQ4" i="4"/>
  <c r="AP4" i="4"/>
  <c r="AO4" i="4"/>
  <c r="AN4" i="4"/>
  <c r="BK4" i="4" s="1"/>
  <c r="CH4" i="4" s="1"/>
  <c r="AM4" i="4"/>
  <c r="AL4" i="4"/>
  <c r="AK4" i="4"/>
  <c r="AJ4" i="4"/>
  <c r="BG4" i="4" s="1"/>
  <c r="CD4" i="4" s="1"/>
  <c r="AI4" i="4"/>
  <c r="AH4" i="4"/>
  <c r="AG4" i="4"/>
  <c r="AF4" i="4"/>
  <c r="BC4" i="4" s="1"/>
  <c r="BZ4" i="4" s="1"/>
  <c r="AE4" i="4"/>
  <c r="AD4" i="4"/>
  <c r="AC4" i="4"/>
  <c r="AB4" i="4"/>
  <c r="AY4" i="4" s="1"/>
  <c r="BV4" i="4" s="1"/>
  <c r="AA4" i="4"/>
  <c r="J10" i="6" l="1"/>
  <c r="D40" i="2"/>
  <c r="D39" i="2"/>
  <c r="N74" i="3" l="1"/>
  <c r="N70" i="3"/>
  <c r="N66" i="3"/>
  <c r="N62" i="3"/>
  <c r="N58" i="3"/>
  <c r="N50" i="3"/>
  <c r="N46" i="3"/>
  <c r="N38" i="3"/>
  <c r="N75" i="3"/>
  <c r="N76" i="3" s="1"/>
  <c r="N72" i="3"/>
  <c r="N71" i="3"/>
  <c r="N68" i="3"/>
  <c r="N67" i="3"/>
  <c r="N64" i="3"/>
  <c r="N63" i="3"/>
  <c r="N60" i="3"/>
  <c r="N59" i="3"/>
  <c r="N56" i="3"/>
  <c r="N55" i="3"/>
  <c r="N54" i="3"/>
  <c r="N52" i="3"/>
  <c r="N51" i="3"/>
  <c r="N48" i="3"/>
  <c r="N47" i="3"/>
  <c r="N44" i="3"/>
  <c r="N43" i="3"/>
  <c r="N42" i="3"/>
  <c r="N40" i="3"/>
  <c r="N39" i="3"/>
  <c r="N36" i="3"/>
  <c r="M8" i="3"/>
  <c r="B22" i="5" l="1"/>
  <c r="B21" i="5"/>
  <c r="B10" i="5"/>
  <c r="B9" i="5"/>
  <c r="B7" i="5"/>
  <c r="D9" i="5"/>
  <c r="B30" i="5"/>
  <c r="F74" i="2"/>
  <c r="F73" i="2"/>
  <c r="F31" i="2"/>
  <c r="F30" i="2"/>
  <c r="F29" i="2"/>
  <c r="F28" i="2"/>
  <c r="F27" i="2"/>
  <c r="D8" i="2"/>
  <c r="D73" i="2"/>
  <c r="D77" i="2"/>
  <c r="D5" i="2"/>
  <c r="D30" i="2" s="1"/>
  <c r="D4" i="2"/>
  <c r="D29" i="2" s="1"/>
  <c r="D3" i="2"/>
  <c r="D28" i="2" s="1"/>
  <c r="D27" i="2"/>
  <c r="B1" i="5" l="1"/>
  <c r="B25" i="2"/>
  <c r="D22" i="5"/>
  <c r="D21" i="5"/>
  <c r="D10" i="5"/>
  <c r="D7" i="5"/>
  <c r="D24" i="5"/>
  <c r="D31" i="2"/>
  <c r="F62" i="2"/>
  <c r="B3" i="5" s="1"/>
  <c r="F77" i="2"/>
  <c r="D62" i="2"/>
  <c r="D85" i="2" s="1"/>
  <c r="D72" i="2"/>
  <c r="D74" i="2"/>
  <c r="F85" i="2" l="1"/>
  <c r="A3" i="5"/>
  <c r="CC20" i="4"/>
  <c r="CB20" i="4"/>
  <c r="CA20" i="4"/>
  <c r="BZ20" i="4"/>
  <c r="BY20" i="4"/>
  <c r="BX20" i="4"/>
  <c r="BW20" i="4"/>
  <c r="L20" i="4"/>
  <c r="K20" i="4"/>
  <c r="J20" i="4"/>
  <c r="I20" i="4"/>
  <c r="H20" i="4"/>
  <c r="G20" i="4"/>
  <c r="F20" i="4"/>
  <c r="E20" i="4"/>
  <c r="D20" i="4"/>
  <c r="CC19" i="4"/>
  <c r="CB19" i="4"/>
  <c r="CA19" i="4"/>
  <c r="BZ19" i="4"/>
  <c r="BY19" i="4"/>
  <c r="BX19" i="4"/>
  <c r="BV19" i="4"/>
  <c r="L19" i="4"/>
  <c r="K19" i="4"/>
  <c r="J19" i="4"/>
  <c r="I19" i="4"/>
  <c r="H19" i="4"/>
  <c r="G19" i="4"/>
  <c r="F19" i="4"/>
  <c r="E19" i="4"/>
  <c r="D19" i="4"/>
  <c r="CA18" i="4"/>
  <c r="BZ18" i="4"/>
  <c r="BY18" i="4"/>
  <c r="BX18" i="4"/>
  <c r="BV18" i="4"/>
  <c r="BU18" i="4"/>
  <c r="L18" i="4"/>
  <c r="K18" i="4"/>
  <c r="J18" i="4"/>
  <c r="I18" i="4"/>
  <c r="H18" i="4"/>
  <c r="G18" i="4"/>
  <c r="F18" i="4"/>
  <c r="E18" i="4"/>
  <c r="D18" i="4"/>
  <c r="CM17" i="4"/>
  <c r="CL17" i="4"/>
  <c r="CC17" i="4"/>
  <c r="CB17" i="4"/>
  <c r="CA17" i="4"/>
  <c r="BZ17" i="4"/>
  <c r="BY17" i="4"/>
  <c r="BY21" i="4" s="1"/>
  <c r="BX17" i="4"/>
  <c r="BW17" i="4"/>
  <c r="BV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G21" i="4" s="1"/>
  <c r="F17" i="4"/>
  <c r="E17" i="4"/>
  <c r="D17" i="4"/>
  <c r="CC14" i="4"/>
  <c r="CB14" i="4"/>
  <c r="CA14" i="4"/>
  <c r="BZ14" i="4"/>
  <c r="BY14" i="4"/>
  <c r="BX14" i="4"/>
  <c r="BW14" i="4"/>
  <c r="BV14" i="4"/>
  <c r="BU14" i="4"/>
  <c r="L14" i="4"/>
  <c r="K14" i="4"/>
  <c r="K28" i="4" s="1"/>
  <c r="J14" i="4"/>
  <c r="I14" i="4"/>
  <c r="H14" i="4"/>
  <c r="G14" i="4"/>
  <c r="F14" i="4"/>
  <c r="E14" i="4"/>
  <c r="D14" i="4"/>
  <c r="CC13" i="4"/>
  <c r="CB13" i="4"/>
  <c r="CA13" i="4"/>
  <c r="BZ13" i="4"/>
  <c r="BY13" i="4"/>
  <c r="BX13" i="4"/>
  <c r="BW13" i="4"/>
  <c r="L13" i="4"/>
  <c r="K13" i="4"/>
  <c r="K15" i="4" s="1"/>
  <c r="J13" i="4"/>
  <c r="I13" i="4"/>
  <c r="H13" i="4"/>
  <c r="G13" i="4"/>
  <c r="F13" i="4"/>
  <c r="E13" i="4"/>
  <c r="D13" i="4"/>
  <c r="CA12" i="4"/>
  <c r="CA15" i="4" s="1"/>
  <c r="BZ12" i="4"/>
  <c r="BY12" i="4"/>
  <c r="BX12" i="4"/>
  <c r="L12" i="4"/>
  <c r="K12" i="4"/>
  <c r="J12" i="4"/>
  <c r="I12" i="4"/>
  <c r="H12" i="4"/>
  <c r="G12" i="4"/>
  <c r="F12" i="4"/>
  <c r="E12" i="4"/>
  <c r="D12" i="4"/>
  <c r="CM11" i="4"/>
  <c r="CL11" i="4"/>
  <c r="CJ11" i="4"/>
  <c r="CJ15" i="4" s="1"/>
  <c r="CI11" i="4"/>
  <c r="CH11" i="4"/>
  <c r="CH15" i="4" s="1"/>
  <c r="CE11" i="4"/>
  <c r="CD11" i="4"/>
  <c r="CD15" i="4" s="1"/>
  <c r="CC11" i="4"/>
  <c r="CB11" i="4"/>
  <c r="CA11" i="4"/>
  <c r="BZ11" i="4"/>
  <c r="BX11" i="4"/>
  <c r="BW11" i="4"/>
  <c r="BV11" i="4"/>
  <c r="V11" i="4"/>
  <c r="U11" i="4"/>
  <c r="U15" i="4" s="1"/>
  <c r="T11" i="4"/>
  <c r="S11" i="4"/>
  <c r="R11" i="4"/>
  <c r="Q11" i="4"/>
  <c r="Q15" i="4" s="1"/>
  <c r="P11" i="4"/>
  <c r="O11" i="4"/>
  <c r="N11" i="4"/>
  <c r="M11" i="4"/>
  <c r="M15" i="4" s="1"/>
  <c r="L11" i="4"/>
  <c r="K11" i="4"/>
  <c r="J11" i="4"/>
  <c r="I11" i="4"/>
  <c r="I15" i="4" s="1"/>
  <c r="H11" i="4"/>
  <c r="G11" i="4"/>
  <c r="F11" i="4"/>
  <c r="E11" i="4"/>
  <c r="D11" i="4"/>
  <c r="CC8" i="4"/>
  <c r="CB8" i="4"/>
  <c r="CB28" i="4" s="1"/>
  <c r="CA8" i="4"/>
  <c r="BZ8" i="4"/>
  <c r="BZ28" i="4" s="1"/>
  <c r="BY8" i="4"/>
  <c r="BX8" i="4"/>
  <c r="BX28" i="4" s="1"/>
  <c r="BW8" i="4"/>
  <c r="BW28" i="4" s="1"/>
  <c r="BU8" i="4"/>
  <c r="L8" i="4"/>
  <c r="K8" i="4"/>
  <c r="J8" i="4"/>
  <c r="I8" i="4"/>
  <c r="H8" i="4"/>
  <c r="G8" i="4"/>
  <c r="F8" i="4"/>
  <c r="E8" i="4"/>
  <c r="D8" i="4"/>
  <c r="CC7" i="4"/>
  <c r="CB7" i="4"/>
  <c r="CA7" i="4"/>
  <c r="CA27" i="4" s="1"/>
  <c r="BZ7" i="4"/>
  <c r="BY7" i="4"/>
  <c r="BX7" i="4"/>
  <c r="L7" i="4"/>
  <c r="K7" i="4"/>
  <c r="J7" i="4"/>
  <c r="I7" i="4"/>
  <c r="I27" i="4" s="1"/>
  <c r="H7" i="4"/>
  <c r="G7" i="4"/>
  <c r="F7" i="4"/>
  <c r="E7" i="4"/>
  <c r="D7" i="4"/>
  <c r="CC6" i="4"/>
  <c r="CB6" i="4"/>
  <c r="CA6" i="4"/>
  <c r="CA26" i="4" s="1"/>
  <c r="BZ6" i="4"/>
  <c r="BZ26" i="4" s="1"/>
  <c r="BY6" i="4"/>
  <c r="BX6" i="4"/>
  <c r="BX26" i="4" s="1"/>
  <c r="BV6" i="4"/>
  <c r="L6" i="4"/>
  <c r="K6" i="4"/>
  <c r="J6" i="4"/>
  <c r="I6" i="4"/>
  <c r="H6" i="4"/>
  <c r="G6" i="4"/>
  <c r="F6" i="4"/>
  <c r="E6" i="4"/>
  <c r="D6" i="4"/>
  <c r="CM5" i="4"/>
  <c r="CL5" i="4"/>
  <c r="CL25" i="4" s="1"/>
  <c r="CL29" i="4" s="1"/>
  <c r="CK5" i="4"/>
  <c r="CJ5" i="4"/>
  <c r="CI5" i="4"/>
  <c r="CH5" i="4"/>
  <c r="CG5" i="4"/>
  <c r="CF5" i="4"/>
  <c r="CE5" i="4"/>
  <c r="CD5" i="4"/>
  <c r="CC5" i="4"/>
  <c r="CB5" i="4"/>
  <c r="CB25" i="4" s="1"/>
  <c r="CA5" i="4"/>
  <c r="BZ5" i="4"/>
  <c r="BZ25" i="4" s="1"/>
  <c r="BY5" i="4"/>
  <c r="BX5" i="4"/>
  <c r="BW5" i="4"/>
  <c r="BV5" i="4"/>
  <c r="BV25" i="4" s="1"/>
  <c r="BU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BR1" i="4"/>
  <c r="AU1" i="4"/>
  <c r="X1" i="4"/>
  <c r="A1" i="4"/>
  <c r="S68" i="3"/>
  <c r="CM21" i="4"/>
  <c r="CL21" i="4"/>
  <c r="CA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F21" i="4"/>
  <c r="E21" i="4"/>
  <c r="D21" i="4"/>
  <c r="BT14" i="4"/>
  <c r="BT20" i="4" s="1"/>
  <c r="BT28" i="4" s="1"/>
  <c r="BS14" i="4"/>
  <c r="BS20" i="4" s="1"/>
  <c r="BS28" i="4" s="1"/>
  <c r="AW14" i="4"/>
  <c r="AW20" i="4" s="1"/>
  <c r="AW28" i="4" s="1"/>
  <c r="AV14" i="4"/>
  <c r="AV20" i="4" s="1"/>
  <c r="AV28" i="4" s="1"/>
  <c r="Z14" i="4"/>
  <c r="Z20" i="4" s="1"/>
  <c r="Z28" i="4" s="1"/>
  <c r="Y14" i="4"/>
  <c r="Y20" i="4" s="1"/>
  <c r="Y28" i="4" s="1"/>
  <c r="C14" i="4"/>
  <c r="C20" i="4" s="1"/>
  <c r="C28" i="4" s="1"/>
  <c r="B14" i="4"/>
  <c r="B20" i="4" s="1"/>
  <c r="B28" i="4" s="1"/>
  <c r="BT13" i="4"/>
  <c r="BT19" i="4" s="1"/>
  <c r="BT27" i="4" s="1"/>
  <c r="BS13" i="4"/>
  <c r="BS19" i="4" s="1"/>
  <c r="BS27" i="4" s="1"/>
  <c r="AW13" i="4"/>
  <c r="AW19" i="4" s="1"/>
  <c r="AW27" i="4" s="1"/>
  <c r="AV13" i="4"/>
  <c r="AV19" i="4" s="1"/>
  <c r="AV27" i="4" s="1"/>
  <c r="Z13" i="4"/>
  <c r="Z19" i="4" s="1"/>
  <c r="Z27" i="4" s="1"/>
  <c r="Y13" i="4"/>
  <c r="Y19" i="4" s="1"/>
  <c r="Y27" i="4" s="1"/>
  <c r="C13" i="4"/>
  <c r="C19" i="4" s="1"/>
  <c r="C27" i="4" s="1"/>
  <c r="B13" i="4"/>
  <c r="B19" i="4" s="1"/>
  <c r="B27" i="4" s="1"/>
  <c r="BT12" i="4"/>
  <c r="BT18" i="4" s="1"/>
  <c r="BT26" i="4" s="1"/>
  <c r="BS12" i="4"/>
  <c r="BS18" i="4" s="1"/>
  <c r="BS26" i="4" s="1"/>
  <c r="AW12" i="4"/>
  <c r="AW18" i="4" s="1"/>
  <c r="AW26" i="4" s="1"/>
  <c r="AV12" i="4"/>
  <c r="AV18" i="4" s="1"/>
  <c r="AV26" i="4" s="1"/>
  <c r="Z12" i="4"/>
  <c r="Z18" i="4" s="1"/>
  <c r="Z26" i="4" s="1"/>
  <c r="Y12" i="4"/>
  <c r="Y18" i="4" s="1"/>
  <c r="Y26" i="4" s="1"/>
  <c r="C12" i="4"/>
  <c r="C18" i="4" s="1"/>
  <c r="C26" i="4" s="1"/>
  <c r="B12" i="4"/>
  <c r="B18" i="4" s="1"/>
  <c r="B26" i="4" s="1"/>
  <c r="CM15" i="4"/>
  <c r="CL15" i="4"/>
  <c r="CI15" i="4"/>
  <c r="CE15" i="4"/>
  <c r="BT11" i="4"/>
  <c r="BT17" i="4" s="1"/>
  <c r="BT25" i="4" s="1"/>
  <c r="BS11" i="4"/>
  <c r="BS17" i="4" s="1"/>
  <c r="BS25" i="4" s="1"/>
  <c r="AW11" i="4"/>
  <c r="AW17" i="4" s="1"/>
  <c r="AW25" i="4" s="1"/>
  <c r="AV11" i="4"/>
  <c r="AV17" i="4" s="1"/>
  <c r="AV25" i="4" s="1"/>
  <c r="Z11" i="4"/>
  <c r="Z17" i="4" s="1"/>
  <c r="Z25" i="4" s="1"/>
  <c r="Y11" i="4"/>
  <c r="Y17" i="4" s="1"/>
  <c r="Y25" i="4" s="1"/>
  <c r="S15" i="4"/>
  <c r="O15" i="4"/>
  <c r="E15" i="4"/>
  <c r="C11" i="4"/>
  <c r="C17" i="4" s="1"/>
  <c r="C25" i="4" s="1"/>
  <c r="B11" i="4"/>
  <c r="B17" i="4" s="1"/>
  <c r="B25" i="4" s="1"/>
  <c r="CM10" i="4"/>
  <c r="CM16" i="4" s="1"/>
  <c r="CM24" i="4" s="1"/>
  <c r="CL10" i="4"/>
  <c r="CL16" i="4" s="1"/>
  <c r="CL24" i="4" s="1"/>
  <c r="CK10" i="4"/>
  <c r="CK16" i="4" s="1"/>
  <c r="CK24" i="4" s="1"/>
  <c r="CJ10" i="4"/>
  <c r="CJ16" i="4" s="1"/>
  <c r="CJ24" i="4" s="1"/>
  <c r="CI10" i="4"/>
  <c r="CI16" i="4" s="1"/>
  <c r="CI24" i="4" s="1"/>
  <c r="CH10" i="4"/>
  <c r="CH16" i="4" s="1"/>
  <c r="CH24" i="4" s="1"/>
  <c r="CG10" i="4"/>
  <c r="CG16" i="4" s="1"/>
  <c r="CG24" i="4" s="1"/>
  <c r="CF10" i="4"/>
  <c r="CF16" i="4" s="1"/>
  <c r="CF24" i="4" s="1"/>
  <c r="CE10" i="4"/>
  <c r="CE16" i="4" s="1"/>
  <c r="CE24" i="4" s="1"/>
  <c r="CD10" i="4"/>
  <c r="CD16" i="4" s="1"/>
  <c r="CD24" i="4" s="1"/>
  <c r="CC10" i="4"/>
  <c r="CC16" i="4" s="1"/>
  <c r="CC24" i="4" s="1"/>
  <c r="CB10" i="4"/>
  <c r="CB16" i="4" s="1"/>
  <c r="CB24" i="4" s="1"/>
  <c r="CA10" i="4"/>
  <c r="CA16" i="4" s="1"/>
  <c r="CA24" i="4" s="1"/>
  <c r="BZ10" i="4"/>
  <c r="BZ16" i="4" s="1"/>
  <c r="BZ24" i="4" s="1"/>
  <c r="BY10" i="4"/>
  <c r="BY16" i="4" s="1"/>
  <c r="BY24" i="4" s="1"/>
  <c r="BX10" i="4"/>
  <c r="BX16" i="4" s="1"/>
  <c r="BX24" i="4" s="1"/>
  <c r="BW10" i="4"/>
  <c r="BW16" i="4" s="1"/>
  <c r="BW24" i="4" s="1"/>
  <c r="BV10" i="4"/>
  <c r="BV16" i="4" s="1"/>
  <c r="BV24" i="4" s="1"/>
  <c r="BU10" i="4"/>
  <c r="BU16" i="4" s="1"/>
  <c r="BU24" i="4" s="1"/>
  <c r="BP10" i="4"/>
  <c r="BP16" i="4" s="1"/>
  <c r="BP24" i="4" s="1"/>
  <c r="BO10" i="4"/>
  <c r="BO16" i="4" s="1"/>
  <c r="BO24" i="4" s="1"/>
  <c r="BN10" i="4"/>
  <c r="BN16" i="4" s="1"/>
  <c r="BN24" i="4" s="1"/>
  <c r="BM10" i="4"/>
  <c r="BM16" i="4" s="1"/>
  <c r="BM24" i="4" s="1"/>
  <c r="BL10" i="4"/>
  <c r="BL16" i="4" s="1"/>
  <c r="BL24" i="4" s="1"/>
  <c r="BK10" i="4"/>
  <c r="BK16" i="4" s="1"/>
  <c r="BK24" i="4" s="1"/>
  <c r="BJ10" i="4"/>
  <c r="BJ16" i="4" s="1"/>
  <c r="BJ24" i="4" s="1"/>
  <c r="BI10" i="4"/>
  <c r="BI16" i="4" s="1"/>
  <c r="BI24" i="4" s="1"/>
  <c r="BH10" i="4"/>
  <c r="BH16" i="4" s="1"/>
  <c r="BH24" i="4" s="1"/>
  <c r="BG10" i="4"/>
  <c r="BG16" i="4" s="1"/>
  <c r="BG24" i="4" s="1"/>
  <c r="BF10" i="4"/>
  <c r="BF16" i="4" s="1"/>
  <c r="BF24" i="4" s="1"/>
  <c r="BE10" i="4"/>
  <c r="BE16" i="4" s="1"/>
  <c r="BE24" i="4" s="1"/>
  <c r="BD10" i="4"/>
  <c r="BD16" i="4" s="1"/>
  <c r="BD24" i="4" s="1"/>
  <c r="BC10" i="4"/>
  <c r="BC16" i="4" s="1"/>
  <c r="BC24" i="4" s="1"/>
  <c r="BB10" i="4"/>
  <c r="BB16" i="4" s="1"/>
  <c r="BB24" i="4" s="1"/>
  <c r="BA10" i="4"/>
  <c r="BA16" i="4" s="1"/>
  <c r="BA24" i="4" s="1"/>
  <c r="AZ10" i="4"/>
  <c r="AZ16" i="4" s="1"/>
  <c r="AZ24" i="4" s="1"/>
  <c r="AY10" i="4"/>
  <c r="AY16" i="4" s="1"/>
  <c r="AY24" i="4" s="1"/>
  <c r="AX10" i="4"/>
  <c r="AX16" i="4" s="1"/>
  <c r="AX24" i="4" s="1"/>
  <c r="AS10" i="4"/>
  <c r="AS16" i="4" s="1"/>
  <c r="AS24" i="4" s="1"/>
  <c r="AR10" i="4"/>
  <c r="AR16" i="4" s="1"/>
  <c r="AR24" i="4" s="1"/>
  <c r="AQ10" i="4"/>
  <c r="AQ16" i="4" s="1"/>
  <c r="AQ24" i="4" s="1"/>
  <c r="AP10" i="4"/>
  <c r="AP16" i="4" s="1"/>
  <c r="AP24" i="4" s="1"/>
  <c r="AO10" i="4"/>
  <c r="AO16" i="4" s="1"/>
  <c r="AO24" i="4" s="1"/>
  <c r="AN10" i="4"/>
  <c r="AN16" i="4" s="1"/>
  <c r="AN24" i="4" s="1"/>
  <c r="AM10" i="4"/>
  <c r="AM16" i="4" s="1"/>
  <c r="AM24" i="4" s="1"/>
  <c r="AL10" i="4"/>
  <c r="AL16" i="4" s="1"/>
  <c r="AL24" i="4" s="1"/>
  <c r="AK10" i="4"/>
  <c r="AK16" i="4" s="1"/>
  <c r="AK24" i="4" s="1"/>
  <c r="AJ10" i="4"/>
  <c r="AJ16" i="4" s="1"/>
  <c r="AJ24" i="4" s="1"/>
  <c r="AI10" i="4"/>
  <c r="AI16" i="4" s="1"/>
  <c r="AI24" i="4" s="1"/>
  <c r="AH10" i="4"/>
  <c r="AH16" i="4" s="1"/>
  <c r="AH24" i="4" s="1"/>
  <c r="AG10" i="4"/>
  <c r="AG16" i="4" s="1"/>
  <c r="AG24" i="4" s="1"/>
  <c r="AF10" i="4"/>
  <c r="AF16" i="4" s="1"/>
  <c r="AF24" i="4" s="1"/>
  <c r="AE10" i="4"/>
  <c r="AE16" i="4" s="1"/>
  <c r="AE24" i="4" s="1"/>
  <c r="AD10" i="4"/>
  <c r="AD16" i="4" s="1"/>
  <c r="AD24" i="4" s="1"/>
  <c r="AC10" i="4"/>
  <c r="AC16" i="4" s="1"/>
  <c r="AC24" i="4" s="1"/>
  <c r="AB10" i="4"/>
  <c r="AB16" i="4" s="1"/>
  <c r="AB24" i="4" s="1"/>
  <c r="AA10" i="4"/>
  <c r="AA16" i="4" s="1"/>
  <c r="AA24" i="4" s="1"/>
  <c r="V10" i="4"/>
  <c r="V16" i="4" s="1"/>
  <c r="V24" i="4" s="1"/>
  <c r="U10" i="4"/>
  <c r="U16" i="4" s="1"/>
  <c r="U24" i="4" s="1"/>
  <c r="T10" i="4"/>
  <c r="T16" i="4" s="1"/>
  <c r="T24" i="4" s="1"/>
  <c r="S10" i="4"/>
  <c r="S16" i="4" s="1"/>
  <c r="S24" i="4" s="1"/>
  <c r="R10" i="4"/>
  <c r="R16" i="4" s="1"/>
  <c r="R24" i="4" s="1"/>
  <c r="Q10" i="4"/>
  <c r="Q16" i="4" s="1"/>
  <c r="Q24" i="4" s="1"/>
  <c r="P10" i="4"/>
  <c r="P16" i="4" s="1"/>
  <c r="P24" i="4" s="1"/>
  <c r="O10" i="4"/>
  <c r="O16" i="4" s="1"/>
  <c r="O24" i="4" s="1"/>
  <c r="N10" i="4"/>
  <c r="N16" i="4" s="1"/>
  <c r="N24" i="4" s="1"/>
  <c r="M10" i="4"/>
  <c r="M16" i="4" s="1"/>
  <c r="M24" i="4" s="1"/>
  <c r="L10" i="4"/>
  <c r="L16" i="4" s="1"/>
  <c r="L24" i="4" s="1"/>
  <c r="K10" i="4"/>
  <c r="K16" i="4" s="1"/>
  <c r="K24" i="4" s="1"/>
  <c r="J10" i="4"/>
  <c r="J16" i="4" s="1"/>
  <c r="J24" i="4" s="1"/>
  <c r="I10" i="4"/>
  <c r="I16" i="4" s="1"/>
  <c r="I24" i="4" s="1"/>
  <c r="H10" i="4"/>
  <c r="H16" i="4" s="1"/>
  <c r="H24" i="4" s="1"/>
  <c r="G10" i="4"/>
  <c r="G16" i="4" s="1"/>
  <c r="G24" i="4" s="1"/>
  <c r="F10" i="4"/>
  <c r="F16" i="4" s="1"/>
  <c r="F24" i="4" s="1"/>
  <c r="E10" i="4"/>
  <c r="E16" i="4" s="1"/>
  <c r="E24" i="4" s="1"/>
  <c r="D10" i="4"/>
  <c r="D16" i="4" s="1"/>
  <c r="D24" i="4" s="1"/>
  <c r="CC28" i="4"/>
  <c r="CA28" i="4"/>
  <c r="BY28" i="4"/>
  <c r="I28" i="4"/>
  <c r="E28" i="4"/>
  <c r="L27" i="4"/>
  <c r="J27" i="4"/>
  <c r="H27" i="4"/>
  <c r="F27" i="4"/>
  <c r="D27" i="4"/>
  <c r="BY26" i="4"/>
  <c r="J26" i="4"/>
  <c r="F26" i="4"/>
  <c r="AB152" i="3"/>
  <c r="AA152" i="3"/>
  <c r="Z152" i="3"/>
  <c r="U152" i="3"/>
  <c r="Y152" i="3" s="1"/>
  <c r="AF152" i="3" s="1"/>
  <c r="T152" i="3"/>
  <c r="S152" i="3"/>
  <c r="Q152" i="3"/>
  <c r="K152" i="3"/>
  <c r="I152" i="3"/>
  <c r="A152" i="3"/>
  <c r="AB151" i="3"/>
  <c r="AA151" i="3"/>
  <c r="Z151" i="3"/>
  <c r="U151" i="3"/>
  <c r="W151" i="3" s="1"/>
  <c r="AD151" i="3" s="1"/>
  <c r="T151" i="3"/>
  <c r="S151" i="3"/>
  <c r="Q151" i="3"/>
  <c r="I151" i="3"/>
  <c r="A151" i="3"/>
  <c r="AB150" i="3"/>
  <c r="AA150" i="3"/>
  <c r="Z150" i="3"/>
  <c r="U150" i="3"/>
  <c r="W150" i="3" s="1"/>
  <c r="AD150" i="3" s="1"/>
  <c r="T150" i="3"/>
  <c r="S150" i="3"/>
  <c r="Q150" i="3"/>
  <c r="I150" i="3"/>
  <c r="A150" i="3"/>
  <c r="AB149" i="3"/>
  <c r="AA149" i="3"/>
  <c r="Z149" i="3"/>
  <c r="U149" i="3"/>
  <c r="W149" i="3" s="1"/>
  <c r="AD149" i="3" s="1"/>
  <c r="T149" i="3"/>
  <c r="S149" i="3"/>
  <c r="Q149" i="3"/>
  <c r="I149" i="3"/>
  <c r="A149" i="3"/>
  <c r="AB148" i="3"/>
  <c r="AA148" i="3"/>
  <c r="Z148" i="3"/>
  <c r="U148" i="3"/>
  <c r="W148" i="3" s="1"/>
  <c r="AD148" i="3" s="1"/>
  <c r="T148" i="3"/>
  <c r="S148" i="3"/>
  <c r="Q148" i="3"/>
  <c r="I148" i="3"/>
  <c r="A148" i="3"/>
  <c r="AB147" i="3"/>
  <c r="AA147" i="3"/>
  <c r="Z147" i="3"/>
  <c r="U147" i="3"/>
  <c r="W147" i="3" s="1"/>
  <c r="AD147" i="3" s="1"/>
  <c r="T147" i="3"/>
  <c r="S147" i="3"/>
  <c r="Q147" i="3"/>
  <c r="I147" i="3"/>
  <c r="A147" i="3"/>
  <c r="AB146" i="3"/>
  <c r="AA146" i="3"/>
  <c r="Z146" i="3"/>
  <c r="U146" i="3"/>
  <c r="W146" i="3" s="1"/>
  <c r="AD146" i="3" s="1"/>
  <c r="T146" i="3"/>
  <c r="S146" i="3"/>
  <c r="Q146" i="3"/>
  <c r="I146" i="3"/>
  <c r="A146" i="3"/>
  <c r="AB145" i="3"/>
  <c r="AA145" i="3"/>
  <c r="Z145" i="3"/>
  <c r="U145" i="3"/>
  <c r="W145" i="3" s="1"/>
  <c r="AD145" i="3" s="1"/>
  <c r="T145" i="3"/>
  <c r="S145" i="3"/>
  <c r="Q145" i="3"/>
  <c r="K151" i="3"/>
  <c r="I145" i="3"/>
  <c r="A145" i="3"/>
  <c r="AB144" i="3"/>
  <c r="AA144" i="3"/>
  <c r="Z144" i="3"/>
  <c r="U144" i="3"/>
  <c r="W144" i="3" s="1"/>
  <c r="AD144" i="3" s="1"/>
  <c r="T144" i="3"/>
  <c r="S144" i="3"/>
  <c r="Q144" i="3"/>
  <c r="K150" i="3"/>
  <c r="I144" i="3"/>
  <c r="A144" i="3"/>
  <c r="AB143" i="3"/>
  <c r="AA143" i="3"/>
  <c r="Z143" i="3"/>
  <c r="U143" i="3"/>
  <c r="W143" i="3" s="1"/>
  <c r="AD143" i="3" s="1"/>
  <c r="T143" i="3"/>
  <c r="S143" i="3"/>
  <c r="Q143" i="3"/>
  <c r="K149" i="3"/>
  <c r="I143" i="3"/>
  <c r="A143" i="3"/>
  <c r="AB142" i="3"/>
  <c r="AA142" i="3"/>
  <c r="Z142" i="3"/>
  <c r="U142" i="3"/>
  <c r="W142" i="3" s="1"/>
  <c r="AD142" i="3" s="1"/>
  <c r="T142" i="3"/>
  <c r="S142" i="3"/>
  <c r="Q142" i="3"/>
  <c r="K148" i="3"/>
  <c r="I142" i="3"/>
  <c r="A142" i="3"/>
  <c r="AB141" i="3"/>
  <c r="AA141" i="3"/>
  <c r="Z141" i="3"/>
  <c r="U141" i="3"/>
  <c r="W141" i="3" s="1"/>
  <c r="AD141" i="3" s="1"/>
  <c r="T141" i="3"/>
  <c r="S141" i="3"/>
  <c r="Q141" i="3"/>
  <c r="K147" i="3"/>
  <c r="I141" i="3"/>
  <c r="A141" i="3"/>
  <c r="AB140" i="3"/>
  <c r="AA140" i="3"/>
  <c r="Z140" i="3"/>
  <c r="U140" i="3"/>
  <c r="W140" i="3" s="1"/>
  <c r="AD140" i="3" s="1"/>
  <c r="T140" i="3"/>
  <c r="S140" i="3"/>
  <c r="Q140" i="3"/>
  <c r="K146" i="3"/>
  <c r="I140" i="3"/>
  <c r="A140" i="3"/>
  <c r="AB139" i="3"/>
  <c r="AA139" i="3"/>
  <c r="Z139" i="3"/>
  <c r="U139" i="3"/>
  <c r="W139" i="3" s="1"/>
  <c r="AD139" i="3" s="1"/>
  <c r="T139" i="3"/>
  <c r="S139" i="3"/>
  <c r="Q139" i="3"/>
  <c r="K145" i="3"/>
  <c r="I139" i="3"/>
  <c r="A139" i="3"/>
  <c r="AB138" i="3"/>
  <c r="AA138" i="3"/>
  <c r="Z138" i="3"/>
  <c r="U138" i="3"/>
  <c r="W138" i="3" s="1"/>
  <c r="AD138" i="3" s="1"/>
  <c r="T138" i="3"/>
  <c r="S138" i="3"/>
  <c r="Q138" i="3"/>
  <c r="K144" i="3"/>
  <c r="I138" i="3"/>
  <c r="A138" i="3"/>
  <c r="AB137" i="3"/>
  <c r="AA137" i="3"/>
  <c r="Z137" i="3"/>
  <c r="U137" i="3"/>
  <c r="W137" i="3" s="1"/>
  <c r="AD137" i="3" s="1"/>
  <c r="T137" i="3"/>
  <c r="S137" i="3"/>
  <c r="Q137" i="3"/>
  <c r="K143" i="3"/>
  <c r="I137" i="3"/>
  <c r="A137" i="3"/>
  <c r="AB136" i="3"/>
  <c r="AA136" i="3"/>
  <c r="Z136" i="3"/>
  <c r="U136" i="3"/>
  <c r="W136" i="3" s="1"/>
  <c r="AD136" i="3" s="1"/>
  <c r="T136" i="3"/>
  <c r="S136" i="3"/>
  <c r="Q136" i="3"/>
  <c r="K142" i="3"/>
  <c r="I136" i="3"/>
  <c r="A136" i="3"/>
  <c r="AB135" i="3"/>
  <c r="AA135" i="3"/>
  <c r="Z135" i="3"/>
  <c r="U135" i="3"/>
  <c r="W135" i="3" s="1"/>
  <c r="AD135" i="3" s="1"/>
  <c r="T135" i="3"/>
  <c r="S135" i="3"/>
  <c r="Q135" i="3"/>
  <c r="K141" i="3"/>
  <c r="I135" i="3"/>
  <c r="A135" i="3"/>
  <c r="AB134" i="3"/>
  <c r="AA134" i="3"/>
  <c r="Z134" i="3"/>
  <c r="U134" i="3"/>
  <c r="W134" i="3" s="1"/>
  <c r="AD134" i="3" s="1"/>
  <c r="T134" i="3"/>
  <c r="S134" i="3"/>
  <c r="Q134" i="3"/>
  <c r="K140" i="3"/>
  <c r="I134" i="3"/>
  <c r="A134" i="3"/>
  <c r="AB133" i="3"/>
  <c r="AA133" i="3"/>
  <c r="Z133" i="3"/>
  <c r="U133" i="3"/>
  <c r="W133" i="3" s="1"/>
  <c r="AD133" i="3" s="1"/>
  <c r="T133" i="3"/>
  <c r="S133" i="3"/>
  <c r="Q133" i="3"/>
  <c r="K139" i="3"/>
  <c r="I133" i="3"/>
  <c r="A133" i="3"/>
  <c r="AB132" i="3"/>
  <c r="AA132" i="3"/>
  <c r="Z132" i="3"/>
  <c r="U132" i="3"/>
  <c r="W132" i="3" s="1"/>
  <c r="AD132" i="3" s="1"/>
  <c r="T132" i="3"/>
  <c r="S132" i="3"/>
  <c r="Q132" i="3"/>
  <c r="K138" i="3"/>
  <c r="I132" i="3"/>
  <c r="A132" i="3"/>
  <c r="AB131" i="3"/>
  <c r="AA131" i="3"/>
  <c r="Z131" i="3"/>
  <c r="U131" i="3"/>
  <c r="W131" i="3" s="1"/>
  <c r="AD131" i="3" s="1"/>
  <c r="T131" i="3"/>
  <c r="S131" i="3"/>
  <c r="Q131" i="3"/>
  <c r="K137" i="3"/>
  <c r="I131" i="3"/>
  <c r="A131" i="3"/>
  <c r="AB130" i="3"/>
  <c r="AA130" i="3"/>
  <c r="Z130" i="3"/>
  <c r="U130" i="3"/>
  <c r="W130" i="3" s="1"/>
  <c r="AD130" i="3" s="1"/>
  <c r="T130" i="3"/>
  <c r="S130" i="3"/>
  <c r="Q130" i="3"/>
  <c r="K136" i="3"/>
  <c r="I130" i="3"/>
  <c r="A130" i="3"/>
  <c r="AB129" i="3"/>
  <c r="AA129" i="3"/>
  <c r="Z129" i="3"/>
  <c r="U129" i="3"/>
  <c r="W129" i="3" s="1"/>
  <c r="AD129" i="3" s="1"/>
  <c r="T129" i="3"/>
  <c r="S129" i="3"/>
  <c r="Q129" i="3"/>
  <c r="K135" i="3"/>
  <c r="I129" i="3"/>
  <c r="A129" i="3"/>
  <c r="AB128" i="3"/>
  <c r="AA128" i="3"/>
  <c r="Z128" i="3"/>
  <c r="U128" i="3"/>
  <c r="W128" i="3" s="1"/>
  <c r="AD128" i="3" s="1"/>
  <c r="T128" i="3"/>
  <c r="S128" i="3"/>
  <c r="Q128" i="3"/>
  <c r="K134" i="3"/>
  <c r="I128" i="3"/>
  <c r="A128" i="3"/>
  <c r="AB127" i="3"/>
  <c r="AA127" i="3"/>
  <c r="Z127" i="3"/>
  <c r="U127" i="3"/>
  <c r="W127" i="3" s="1"/>
  <c r="AD127" i="3" s="1"/>
  <c r="T127" i="3"/>
  <c r="S127" i="3"/>
  <c r="Q127" i="3"/>
  <c r="K133" i="3"/>
  <c r="I127" i="3"/>
  <c r="A127" i="3"/>
  <c r="AB126" i="3"/>
  <c r="AA126" i="3"/>
  <c r="Z126" i="3"/>
  <c r="U126" i="3"/>
  <c r="W126" i="3" s="1"/>
  <c r="AD126" i="3" s="1"/>
  <c r="T126" i="3"/>
  <c r="S126" i="3"/>
  <c r="Q126" i="3"/>
  <c r="K132" i="3"/>
  <c r="I126" i="3"/>
  <c r="A126" i="3"/>
  <c r="AB125" i="3"/>
  <c r="AA125" i="3"/>
  <c r="Z125" i="3"/>
  <c r="U125" i="3"/>
  <c r="W125" i="3" s="1"/>
  <c r="AD125" i="3" s="1"/>
  <c r="T125" i="3"/>
  <c r="S125" i="3"/>
  <c r="Q125" i="3"/>
  <c r="K131" i="3"/>
  <c r="I125" i="3"/>
  <c r="A125" i="3"/>
  <c r="AB124" i="3"/>
  <c r="AA124" i="3"/>
  <c r="Z124" i="3"/>
  <c r="U124" i="3"/>
  <c r="W124" i="3" s="1"/>
  <c r="AD124" i="3" s="1"/>
  <c r="T124" i="3"/>
  <c r="S124" i="3"/>
  <c r="Q124" i="3"/>
  <c r="K130" i="3"/>
  <c r="I124" i="3"/>
  <c r="A124" i="3"/>
  <c r="AB123" i="3"/>
  <c r="AA123" i="3"/>
  <c r="Z123" i="3"/>
  <c r="U123" i="3"/>
  <c r="W123" i="3" s="1"/>
  <c r="AD123" i="3" s="1"/>
  <c r="T123" i="3"/>
  <c r="S123" i="3"/>
  <c r="Q123" i="3"/>
  <c r="K129" i="3"/>
  <c r="I123" i="3"/>
  <c r="A123" i="3"/>
  <c r="AB122" i="3"/>
  <c r="AA122" i="3"/>
  <c r="Z122" i="3"/>
  <c r="U122" i="3"/>
  <c r="W122" i="3" s="1"/>
  <c r="AD122" i="3" s="1"/>
  <c r="T122" i="3"/>
  <c r="S122" i="3"/>
  <c r="Q122" i="3"/>
  <c r="K128" i="3"/>
  <c r="I122" i="3"/>
  <c r="A122" i="3"/>
  <c r="AB121" i="3"/>
  <c r="AA121" i="3"/>
  <c r="Z121" i="3"/>
  <c r="U121" i="3"/>
  <c r="W121" i="3" s="1"/>
  <c r="AD121" i="3" s="1"/>
  <c r="T121" i="3"/>
  <c r="S121" i="3"/>
  <c r="Q121" i="3"/>
  <c r="K127" i="3"/>
  <c r="I121" i="3"/>
  <c r="A121" i="3"/>
  <c r="AB120" i="3"/>
  <c r="AA120" i="3"/>
  <c r="Z120" i="3"/>
  <c r="U120" i="3"/>
  <c r="W120" i="3" s="1"/>
  <c r="AD120" i="3" s="1"/>
  <c r="T120" i="3"/>
  <c r="S120" i="3"/>
  <c r="Q120" i="3"/>
  <c r="K126" i="3"/>
  <c r="I120" i="3"/>
  <c r="A120" i="3"/>
  <c r="AB119" i="3"/>
  <c r="AA119" i="3"/>
  <c r="Z119" i="3"/>
  <c r="U119" i="3"/>
  <c r="W119" i="3" s="1"/>
  <c r="AD119" i="3" s="1"/>
  <c r="T119" i="3"/>
  <c r="S119" i="3"/>
  <c r="Q119" i="3"/>
  <c r="K125" i="3"/>
  <c r="I119" i="3"/>
  <c r="A119" i="3"/>
  <c r="AB118" i="3"/>
  <c r="AA118" i="3"/>
  <c r="Z118" i="3"/>
  <c r="U118" i="3"/>
  <c r="W118" i="3" s="1"/>
  <c r="AD118" i="3" s="1"/>
  <c r="T118" i="3"/>
  <c r="S118" i="3"/>
  <c r="Q118" i="3"/>
  <c r="K124" i="3"/>
  <c r="I118" i="3"/>
  <c r="A118" i="3"/>
  <c r="AB117" i="3"/>
  <c r="AA117" i="3"/>
  <c r="Z117" i="3"/>
  <c r="U117" i="3"/>
  <c r="W117" i="3" s="1"/>
  <c r="AD117" i="3" s="1"/>
  <c r="T117" i="3"/>
  <c r="S117" i="3"/>
  <c r="Q117" i="3"/>
  <c r="K123" i="3"/>
  <c r="I117" i="3"/>
  <c r="A117" i="3"/>
  <c r="AB116" i="3"/>
  <c r="AA116" i="3"/>
  <c r="Z116" i="3"/>
  <c r="U116" i="3"/>
  <c r="W116" i="3" s="1"/>
  <c r="AD116" i="3" s="1"/>
  <c r="T116" i="3"/>
  <c r="S116" i="3"/>
  <c r="Q116" i="3"/>
  <c r="K122" i="3"/>
  <c r="I116" i="3"/>
  <c r="A116" i="3"/>
  <c r="AB115" i="3"/>
  <c r="AA115" i="3"/>
  <c r="Z115" i="3"/>
  <c r="U115" i="3"/>
  <c r="W115" i="3" s="1"/>
  <c r="AD115" i="3" s="1"/>
  <c r="T115" i="3"/>
  <c r="S115" i="3"/>
  <c r="Q115" i="3"/>
  <c r="K121" i="3"/>
  <c r="I115" i="3"/>
  <c r="A115" i="3"/>
  <c r="AB114" i="3"/>
  <c r="AA114" i="3"/>
  <c r="Z114" i="3"/>
  <c r="U114" i="3"/>
  <c r="W114" i="3" s="1"/>
  <c r="AD114" i="3" s="1"/>
  <c r="T114" i="3"/>
  <c r="S114" i="3"/>
  <c r="Q114" i="3"/>
  <c r="K120" i="3"/>
  <c r="I114" i="3"/>
  <c r="A114" i="3"/>
  <c r="AB113" i="3"/>
  <c r="AA113" i="3"/>
  <c r="Z113" i="3"/>
  <c r="U113" i="3"/>
  <c r="W113" i="3" s="1"/>
  <c r="AD113" i="3" s="1"/>
  <c r="T113" i="3"/>
  <c r="S113" i="3"/>
  <c r="Q113" i="3"/>
  <c r="K119" i="3"/>
  <c r="I113" i="3"/>
  <c r="A113" i="3"/>
  <c r="AB112" i="3"/>
  <c r="AA112" i="3"/>
  <c r="Z112" i="3"/>
  <c r="U112" i="3"/>
  <c r="W112" i="3" s="1"/>
  <c r="AD112" i="3" s="1"/>
  <c r="T112" i="3"/>
  <c r="S112" i="3"/>
  <c r="Q112" i="3"/>
  <c r="K118" i="3"/>
  <c r="I112" i="3"/>
  <c r="A112" i="3"/>
  <c r="AB111" i="3"/>
  <c r="AA111" i="3"/>
  <c r="Z111" i="3"/>
  <c r="U111" i="3"/>
  <c r="W111" i="3" s="1"/>
  <c r="AD111" i="3" s="1"/>
  <c r="T111" i="3"/>
  <c r="S111" i="3"/>
  <c r="Q111" i="3"/>
  <c r="K117" i="3"/>
  <c r="I111" i="3"/>
  <c r="A111" i="3"/>
  <c r="AB110" i="3"/>
  <c r="AA110" i="3"/>
  <c r="Z110" i="3"/>
  <c r="U110" i="3"/>
  <c r="W110" i="3" s="1"/>
  <c r="AD110" i="3" s="1"/>
  <c r="T110" i="3"/>
  <c r="S110" i="3"/>
  <c r="Q110" i="3"/>
  <c r="K116" i="3"/>
  <c r="I110" i="3"/>
  <c r="A110" i="3"/>
  <c r="AB109" i="3"/>
  <c r="AA109" i="3"/>
  <c r="Z109" i="3"/>
  <c r="U109" i="3"/>
  <c r="W109" i="3" s="1"/>
  <c r="AD109" i="3" s="1"/>
  <c r="T109" i="3"/>
  <c r="S109" i="3"/>
  <c r="Q109" i="3"/>
  <c r="K115" i="3"/>
  <c r="I109" i="3"/>
  <c r="A109" i="3"/>
  <c r="AB108" i="3"/>
  <c r="AA108" i="3"/>
  <c r="Z108" i="3"/>
  <c r="U108" i="3"/>
  <c r="W108" i="3" s="1"/>
  <c r="AD108" i="3" s="1"/>
  <c r="T108" i="3"/>
  <c r="S108" i="3"/>
  <c r="Q108" i="3"/>
  <c r="K114" i="3"/>
  <c r="I108" i="3"/>
  <c r="A108" i="3"/>
  <c r="AB107" i="3"/>
  <c r="AA107" i="3"/>
  <c r="Z107" i="3"/>
  <c r="U107" i="3"/>
  <c r="W107" i="3" s="1"/>
  <c r="AD107" i="3" s="1"/>
  <c r="T107" i="3"/>
  <c r="S107" i="3"/>
  <c r="Q107" i="3"/>
  <c r="K113" i="3"/>
  <c r="I107" i="3"/>
  <c r="A107" i="3"/>
  <c r="AB106" i="3"/>
  <c r="AA106" i="3"/>
  <c r="Z106" i="3"/>
  <c r="U106" i="3"/>
  <c r="W106" i="3" s="1"/>
  <c r="AD106" i="3" s="1"/>
  <c r="T106" i="3"/>
  <c r="S106" i="3"/>
  <c r="Q106" i="3"/>
  <c r="K112" i="3"/>
  <c r="I106" i="3"/>
  <c r="A106" i="3"/>
  <c r="AB105" i="3"/>
  <c r="AA105" i="3"/>
  <c r="Z105" i="3"/>
  <c r="U105" i="3"/>
  <c r="W105" i="3" s="1"/>
  <c r="AD105" i="3" s="1"/>
  <c r="T105" i="3"/>
  <c r="S105" i="3"/>
  <c r="Q105" i="3"/>
  <c r="K111" i="3"/>
  <c r="I105" i="3"/>
  <c r="A105" i="3"/>
  <c r="AB104" i="3"/>
  <c r="AA104" i="3"/>
  <c r="Z104" i="3"/>
  <c r="U104" i="3"/>
  <c r="W104" i="3" s="1"/>
  <c r="AD104" i="3" s="1"/>
  <c r="T104" i="3"/>
  <c r="S104" i="3"/>
  <c r="Q104" i="3"/>
  <c r="K110" i="3"/>
  <c r="I104" i="3"/>
  <c r="A104" i="3"/>
  <c r="AB103" i="3"/>
  <c r="AA103" i="3"/>
  <c r="Z103" i="3"/>
  <c r="U103" i="3"/>
  <c r="W103" i="3" s="1"/>
  <c r="AD103" i="3" s="1"/>
  <c r="T103" i="3"/>
  <c r="S103" i="3"/>
  <c r="Q103" i="3"/>
  <c r="K109" i="3"/>
  <c r="I103" i="3"/>
  <c r="A103" i="3"/>
  <c r="AB102" i="3"/>
  <c r="AA102" i="3"/>
  <c r="Z102" i="3"/>
  <c r="U102" i="3"/>
  <c r="W102" i="3" s="1"/>
  <c r="AD102" i="3" s="1"/>
  <c r="T102" i="3"/>
  <c r="S102" i="3"/>
  <c r="Q102" i="3"/>
  <c r="K108" i="3"/>
  <c r="I102" i="3"/>
  <c r="A102" i="3"/>
  <c r="AB101" i="3"/>
  <c r="AA101" i="3"/>
  <c r="Z101" i="3"/>
  <c r="W101" i="3"/>
  <c r="AD101" i="3" s="1"/>
  <c r="U101" i="3"/>
  <c r="T101" i="3"/>
  <c r="S101" i="3"/>
  <c r="Q101" i="3"/>
  <c r="R101" i="3" s="1"/>
  <c r="K107" i="3"/>
  <c r="I101" i="3"/>
  <c r="A101" i="3"/>
  <c r="AB100" i="3"/>
  <c r="AA100" i="3"/>
  <c r="Z100" i="3"/>
  <c r="U100" i="3"/>
  <c r="W100" i="3" s="1"/>
  <c r="AD100" i="3" s="1"/>
  <c r="T100" i="3"/>
  <c r="S100" i="3"/>
  <c r="Q100" i="3"/>
  <c r="K106" i="3"/>
  <c r="I100" i="3"/>
  <c r="A100" i="3"/>
  <c r="AB99" i="3"/>
  <c r="AA99" i="3"/>
  <c r="Z99" i="3"/>
  <c r="U99" i="3"/>
  <c r="W99" i="3" s="1"/>
  <c r="AD99" i="3" s="1"/>
  <c r="T99" i="3"/>
  <c r="S99" i="3"/>
  <c r="Q99" i="3"/>
  <c r="K105" i="3"/>
  <c r="I99" i="3"/>
  <c r="A99" i="3"/>
  <c r="AB98" i="3"/>
  <c r="AA98" i="3"/>
  <c r="Z98" i="3"/>
  <c r="U98" i="3"/>
  <c r="W98" i="3" s="1"/>
  <c r="AD98" i="3" s="1"/>
  <c r="T98" i="3"/>
  <c r="S98" i="3"/>
  <c r="Q98" i="3"/>
  <c r="K104" i="3"/>
  <c r="I98" i="3"/>
  <c r="A98" i="3"/>
  <c r="AB97" i="3"/>
  <c r="AA97" i="3"/>
  <c r="Z97" i="3"/>
  <c r="U97" i="3"/>
  <c r="W97" i="3" s="1"/>
  <c r="AD97" i="3" s="1"/>
  <c r="T97" i="3"/>
  <c r="S97" i="3"/>
  <c r="Q97" i="3"/>
  <c r="K103" i="3"/>
  <c r="I97" i="3"/>
  <c r="A97" i="3"/>
  <c r="AB96" i="3"/>
  <c r="AA96" i="3"/>
  <c r="Z96" i="3"/>
  <c r="U96" i="3"/>
  <c r="W96" i="3" s="1"/>
  <c r="AD96" i="3" s="1"/>
  <c r="T96" i="3"/>
  <c r="S96" i="3"/>
  <c r="Q96" i="3"/>
  <c r="K102" i="3"/>
  <c r="I96" i="3"/>
  <c r="A96" i="3"/>
  <c r="AB95" i="3"/>
  <c r="AA95" i="3"/>
  <c r="Z95" i="3"/>
  <c r="U95" i="3"/>
  <c r="W95" i="3" s="1"/>
  <c r="AD95" i="3" s="1"/>
  <c r="T95" i="3"/>
  <c r="S95" i="3"/>
  <c r="Q95" i="3"/>
  <c r="K101" i="3"/>
  <c r="I95" i="3"/>
  <c r="A95" i="3"/>
  <c r="AB94" i="3"/>
  <c r="AA94" i="3"/>
  <c r="Z94" i="3"/>
  <c r="U94" i="3"/>
  <c r="W94" i="3" s="1"/>
  <c r="AD94" i="3" s="1"/>
  <c r="T94" i="3"/>
  <c r="S94" i="3"/>
  <c r="Q94" i="3"/>
  <c r="K100" i="3"/>
  <c r="I94" i="3"/>
  <c r="A94" i="3"/>
  <c r="AB93" i="3"/>
  <c r="AA93" i="3"/>
  <c r="Z93" i="3"/>
  <c r="U93" i="3"/>
  <c r="W93" i="3" s="1"/>
  <c r="AD93" i="3" s="1"/>
  <c r="T93" i="3"/>
  <c r="S93" i="3"/>
  <c r="Q93" i="3"/>
  <c r="K99" i="3"/>
  <c r="I93" i="3"/>
  <c r="A93" i="3"/>
  <c r="AB92" i="3"/>
  <c r="AA92" i="3"/>
  <c r="Z92" i="3"/>
  <c r="U92" i="3"/>
  <c r="W92" i="3" s="1"/>
  <c r="AD92" i="3" s="1"/>
  <c r="T92" i="3"/>
  <c r="S92" i="3"/>
  <c r="Q92" i="3"/>
  <c r="K98" i="3"/>
  <c r="I92" i="3"/>
  <c r="A92" i="3"/>
  <c r="AB91" i="3"/>
  <c r="AA91" i="3"/>
  <c r="Z91" i="3"/>
  <c r="U91" i="3"/>
  <c r="W91" i="3" s="1"/>
  <c r="AD91" i="3" s="1"/>
  <c r="T91" i="3"/>
  <c r="S91" i="3"/>
  <c r="Q91" i="3"/>
  <c r="K97" i="3"/>
  <c r="I91" i="3"/>
  <c r="A91" i="3"/>
  <c r="AB90" i="3"/>
  <c r="AA90" i="3"/>
  <c r="Z90" i="3"/>
  <c r="U90" i="3"/>
  <c r="W90" i="3" s="1"/>
  <c r="AD90" i="3" s="1"/>
  <c r="T90" i="3"/>
  <c r="S90" i="3"/>
  <c r="Q90" i="3"/>
  <c r="K96" i="3"/>
  <c r="I90" i="3"/>
  <c r="A90" i="3"/>
  <c r="AB89" i="3"/>
  <c r="AA89" i="3"/>
  <c r="Z89" i="3"/>
  <c r="U89" i="3"/>
  <c r="W89" i="3" s="1"/>
  <c r="AD89" i="3" s="1"/>
  <c r="T89" i="3"/>
  <c r="S89" i="3"/>
  <c r="Q89" i="3"/>
  <c r="K95" i="3"/>
  <c r="I89" i="3"/>
  <c r="A89" i="3"/>
  <c r="AB88" i="3"/>
  <c r="AA88" i="3"/>
  <c r="Z88" i="3"/>
  <c r="U88" i="3"/>
  <c r="W88" i="3" s="1"/>
  <c r="AD88" i="3" s="1"/>
  <c r="T88" i="3"/>
  <c r="S88" i="3"/>
  <c r="Q88" i="3"/>
  <c r="K94" i="3"/>
  <c r="I88" i="3"/>
  <c r="A88" i="3"/>
  <c r="AB87" i="3"/>
  <c r="AA87" i="3"/>
  <c r="Z87" i="3"/>
  <c r="U87" i="3"/>
  <c r="Y87" i="3" s="1"/>
  <c r="AF87" i="3" s="1"/>
  <c r="T87" i="3"/>
  <c r="S87" i="3"/>
  <c r="Q87" i="3"/>
  <c r="K93" i="3"/>
  <c r="I87" i="3"/>
  <c r="A87" i="3"/>
  <c r="AB86" i="3"/>
  <c r="AA86" i="3"/>
  <c r="Z86" i="3"/>
  <c r="U86" i="3"/>
  <c r="T86" i="3"/>
  <c r="S86" i="3"/>
  <c r="Q86" i="3"/>
  <c r="K92" i="3"/>
  <c r="I86" i="3"/>
  <c r="A86" i="3"/>
  <c r="AB85" i="3"/>
  <c r="AA85" i="3"/>
  <c r="Z85" i="3"/>
  <c r="U85" i="3"/>
  <c r="Y85" i="3" s="1"/>
  <c r="AF85" i="3" s="1"/>
  <c r="T85" i="3"/>
  <c r="S85" i="3"/>
  <c r="Q85" i="3"/>
  <c r="K91" i="3"/>
  <c r="I85" i="3"/>
  <c r="A85" i="3"/>
  <c r="AB84" i="3"/>
  <c r="AA84" i="3"/>
  <c r="Z84" i="3"/>
  <c r="U84" i="3"/>
  <c r="X84" i="3" s="1"/>
  <c r="AE84" i="3" s="1"/>
  <c r="T84" i="3"/>
  <c r="S84" i="3"/>
  <c r="Q84" i="3"/>
  <c r="K90" i="3"/>
  <c r="I84" i="3"/>
  <c r="A84" i="3"/>
  <c r="AB83" i="3"/>
  <c r="AA83" i="3"/>
  <c r="Z83" i="3"/>
  <c r="U83" i="3"/>
  <c r="Y83" i="3" s="1"/>
  <c r="AF83" i="3" s="1"/>
  <c r="T83" i="3"/>
  <c r="S83" i="3"/>
  <c r="Q83" i="3"/>
  <c r="R83" i="3" s="1"/>
  <c r="K89" i="3"/>
  <c r="I83" i="3"/>
  <c r="A83" i="3"/>
  <c r="AB82" i="3"/>
  <c r="AA82" i="3"/>
  <c r="Z82" i="3"/>
  <c r="U82" i="3"/>
  <c r="T82" i="3"/>
  <c r="S82" i="3"/>
  <c r="Q82" i="3"/>
  <c r="K88" i="3"/>
  <c r="I82" i="3"/>
  <c r="A82" i="3"/>
  <c r="AB81" i="3"/>
  <c r="AA81" i="3"/>
  <c r="Z81" i="3"/>
  <c r="U81" i="3"/>
  <c r="Y81" i="3" s="1"/>
  <c r="AF81" i="3" s="1"/>
  <c r="T81" i="3"/>
  <c r="S81" i="3"/>
  <c r="Q81" i="3"/>
  <c r="R81" i="3" s="1"/>
  <c r="K87" i="3"/>
  <c r="I81" i="3"/>
  <c r="A81" i="3"/>
  <c r="AB80" i="3"/>
  <c r="AA80" i="3"/>
  <c r="Z80" i="3"/>
  <c r="U80" i="3"/>
  <c r="X80" i="3" s="1"/>
  <c r="AE80" i="3" s="1"/>
  <c r="T80" i="3"/>
  <c r="S80" i="3"/>
  <c r="Q80" i="3"/>
  <c r="K86" i="3"/>
  <c r="I80" i="3"/>
  <c r="A80" i="3"/>
  <c r="AB79" i="3"/>
  <c r="AA79" i="3"/>
  <c r="Z79" i="3"/>
  <c r="U79" i="3"/>
  <c r="Y79" i="3" s="1"/>
  <c r="AF79" i="3" s="1"/>
  <c r="T79" i="3"/>
  <c r="S79" i="3"/>
  <c r="Q79" i="3"/>
  <c r="R79" i="3" s="1"/>
  <c r="K85" i="3"/>
  <c r="I79" i="3"/>
  <c r="A79" i="3"/>
  <c r="AB78" i="3"/>
  <c r="AA78" i="3"/>
  <c r="Z78" i="3"/>
  <c r="U78" i="3"/>
  <c r="T78" i="3"/>
  <c r="S78" i="3"/>
  <c r="Q78" i="3"/>
  <c r="K84" i="3"/>
  <c r="I78" i="3"/>
  <c r="A78" i="3"/>
  <c r="AB77" i="3"/>
  <c r="AA77" i="3"/>
  <c r="Z77" i="3"/>
  <c r="U77" i="3"/>
  <c r="Y77" i="3" s="1"/>
  <c r="AF77" i="3" s="1"/>
  <c r="T77" i="3"/>
  <c r="S77" i="3"/>
  <c r="Q77" i="3"/>
  <c r="R77" i="3" s="1"/>
  <c r="K83" i="3"/>
  <c r="I77" i="3"/>
  <c r="A77" i="3"/>
  <c r="AB76" i="3"/>
  <c r="AA76" i="3"/>
  <c r="Z76" i="3"/>
  <c r="U76" i="3"/>
  <c r="X76" i="3" s="1"/>
  <c r="AE76" i="3" s="1"/>
  <c r="T76" i="3"/>
  <c r="S76" i="3"/>
  <c r="Q76" i="3"/>
  <c r="K82" i="3"/>
  <c r="I76" i="3"/>
  <c r="A76" i="3"/>
  <c r="AB75" i="3"/>
  <c r="AA75" i="3"/>
  <c r="Z75" i="3"/>
  <c r="U75" i="3"/>
  <c r="Y75" i="3" s="1"/>
  <c r="AF75" i="3" s="1"/>
  <c r="T75" i="3"/>
  <c r="S75" i="3"/>
  <c r="Q75" i="3"/>
  <c r="R75" i="3" s="1"/>
  <c r="K81" i="3"/>
  <c r="I75" i="3"/>
  <c r="A75" i="3"/>
  <c r="AB74" i="3"/>
  <c r="AA74" i="3"/>
  <c r="Z74" i="3"/>
  <c r="U74" i="3"/>
  <c r="T74" i="3"/>
  <c r="S74" i="3"/>
  <c r="Q74" i="3"/>
  <c r="K80" i="3"/>
  <c r="I74" i="3"/>
  <c r="A74" i="3"/>
  <c r="AB73" i="3"/>
  <c r="AA73" i="3"/>
  <c r="Z73" i="3"/>
  <c r="U73" i="3"/>
  <c r="Y73" i="3" s="1"/>
  <c r="AF73" i="3" s="1"/>
  <c r="T73" i="3"/>
  <c r="S73" i="3"/>
  <c r="Q73" i="3"/>
  <c r="R73" i="3" s="1"/>
  <c r="K79" i="3"/>
  <c r="I73" i="3"/>
  <c r="A73" i="3"/>
  <c r="AB72" i="3"/>
  <c r="AA72" i="3"/>
  <c r="Z72" i="3"/>
  <c r="U72" i="3"/>
  <c r="X72" i="3" s="1"/>
  <c r="AE72" i="3" s="1"/>
  <c r="T72" i="3"/>
  <c r="S72" i="3"/>
  <c r="Q72" i="3"/>
  <c r="K78" i="3"/>
  <c r="I72" i="3"/>
  <c r="A72" i="3"/>
  <c r="AB71" i="3"/>
  <c r="AA71" i="3"/>
  <c r="Z71" i="3"/>
  <c r="U71" i="3"/>
  <c r="Y71" i="3" s="1"/>
  <c r="AF71" i="3" s="1"/>
  <c r="T71" i="3"/>
  <c r="S71" i="3"/>
  <c r="Q71" i="3"/>
  <c r="K77" i="3"/>
  <c r="I71" i="3"/>
  <c r="A71" i="3"/>
  <c r="AB70" i="3"/>
  <c r="AA70" i="3"/>
  <c r="Z70" i="3"/>
  <c r="U70" i="3"/>
  <c r="T70" i="3"/>
  <c r="S70" i="3"/>
  <c r="Q70" i="3"/>
  <c r="K76" i="3"/>
  <c r="I70" i="3"/>
  <c r="A70" i="3"/>
  <c r="AB69" i="3"/>
  <c r="AA69" i="3"/>
  <c r="Z69" i="3"/>
  <c r="U69" i="3"/>
  <c r="Y69" i="3" s="1"/>
  <c r="AF69" i="3" s="1"/>
  <c r="T69" i="3"/>
  <c r="S69" i="3"/>
  <c r="Q69" i="3"/>
  <c r="K75" i="3"/>
  <c r="I69" i="3"/>
  <c r="A69" i="3"/>
  <c r="AA68" i="3"/>
  <c r="Z68" i="3"/>
  <c r="U68" i="3"/>
  <c r="K74" i="3"/>
  <c r="A68" i="3"/>
  <c r="AA67" i="3"/>
  <c r="Z67" i="3"/>
  <c r="U67" i="3"/>
  <c r="Y67" i="3" s="1"/>
  <c r="AF67" i="3" s="1"/>
  <c r="K73" i="3"/>
  <c r="A67" i="3"/>
  <c r="AA66" i="3"/>
  <c r="Z66" i="3"/>
  <c r="U66" i="3"/>
  <c r="X66" i="3" s="1"/>
  <c r="AE66" i="3" s="1"/>
  <c r="S66" i="3"/>
  <c r="K72" i="3"/>
  <c r="A66" i="3"/>
  <c r="AB65" i="3"/>
  <c r="Z65" i="3"/>
  <c r="U65" i="3"/>
  <c r="X65" i="3" s="1"/>
  <c r="AE65" i="3" s="1"/>
  <c r="S65" i="3"/>
  <c r="K71" i="3"/>
  <c r="A65" i="3"/>
  <c r="AB64" i="3"/>
  <c r="Z64" i="3"/>
  <c r="U64" i="3"/>
  <c r="AA64" i="3" s="1"/>
  <c r="S64" i="3"/>
  <c r="K70" i="3"/>
  <c r="A64" i="3"/>
  <c r="AB63" i="3"/>
  <c r="Z63" i="3"/>
  <c r="U63" i="3"/>
  <c r="X63" i="3" s="1"/>
  <c r="AE63" i="3" s="1"/>
  <c r="S63" i="3"/>
  <c r="Q63" i="3"/>
  <c r="R63" i="3" s="1"/>
  <c r="K69" i="3"/>
  <c r="A63" i="3"/>
  <c r="AA62" i="3"/>
  <c r="Z62" i="3"/>
  <c r="U62" i="3"/>
  <c r="AB62" i="3" s="1"/>
  <c r="K68" i="3"/>
  <c r="A62" i="3"/>
  <c r="AA61" i="3"/>
  <c r="Z61" i="3"/>
  <c r="U61" i="3"/>
  <c r="S61" i="3"/>
  <c r="Q61" i="3"/>
  <c r="R61" i="3" s="1"/>
  <c r="K67" i="3"/>
  <c r="A61" i="3"/>
  <c r="AB60" i="3"/>
  <c r="Z60" i="3"/>
  <c r="U60" i="3"/>
  <c r="X60" i="3" s="1"/>
  <c r="K66" i="3"/>
  <c r="A60" i="3"/>
  <c r="AA59" i="3"/>
  <c r="Z59" i="3"/>
  <c r="U59" i="3"/>
  <c r="K65" i="3"/>
  <c r="A59" i="3"/>
  <c r="AA58" i="3"/>
  <c r="Z58" i="3"/>
  <c r="U58" i="3"/>
  <c r="Y58" i="3" s="1"/>
  <c r="K64" i="3"/>
  <c r="A58" i="3"/>
  <c r="AA57" i="3"/>
  <c r="Z57" i="3"/>
  <c r="U57" i="3"/>
  <c r="AB57" i="3" s="1"/>
  <c r="Q57" i="3"/>
  <c r="K63" i="3"/>
  <c r="A57" i="3"/>
  <c r="AA56" i="3"/>
  <c r="Z56" i="3"/>
  <c r="U56" i="3"/>
  <c r="X56" i="3" s="1"/>
  <c r="S56" i="3"/>
  <c r="K62" i="3"/>
  <c r="A56" i="3"/>
  <c r="AB55" i="3"/>
  <c r="Z55" i="3"/>
  <c r="U55" i="3"/>
  <c r="X55" i="3" s="1"/>
  <c r="AE55" i="3" s="1"/>
  <c r="Q55" i="3"/>
  <c r="K61" i="3"/>
  <c r="A55" i="3"/>
  <c r="AB54" i="3"/>
  <c r="Z54" i="3"/>
  <c r="U54" i="3"/>
  <c r="X54" i="3" s="1"/>
  <c r="AE54" i="3" s="1"/>
  <c r="S54" i="3"/>
  <c r="K60" i="3"/>
  <c r="A54" i="3"/>
  <c r="AB53" i="3"/>
  <c r="AA53" i="3"/>
  <c r="V53" i="3"/>
  <c r="U53" i="3"/>
  <c r="Y53" i="3" s="1"/>
  <c r="AF53" i="3" s="1"/>
  <c r="S53" i="3"/>
  <c r="Q53" i="3"/>
  <c r="R53" i="3" s="1"/>
  <c r="K59" i="3"/>
  <c r="A53" i="3"/>
  <c r="AA52" i="3"/>
  <c r="Z52" i="3"/>
  <c r="U52" i="3"/>
  <c r="AB52" i="3" s="1"/>
  <c r="K58" i="3"/>
  <c r="A52" i="3"/>
  <c r="AA51" i="3"/>
  <c r="Z51" i="3"/>
  <c r="U51" i="3"/>
  <c r="Y51" i="3" s="1"/>
  <c r="AF51" i="3" s="1"/>
  <c r="S51" i="3"/>
  <c r="K57" i="3"/>
  <c r="A51" i="3"/>
  <c r="AB50" i="3"/>
  <c r="Z50" i="3"/>
  <c r="U50" i="3"/>
  <c r="AA50" i="3" s="1"/>
  <c r="S50" i="3"/>
  <c r="Q50" i="3"/>
  <c r="K56" i="3"/>
  <c r="A50" i="3"/>
  <c r="AA49" i="3"/>
  <c r="Z49" i="3"/>
  <c r="U49" i="3"/>
  <c r="AB49" i="3" s="1"/>
  <c r="S49" i="3"/>
  <c r="K55" i="3"/>
  <c r="A49" i="3"/>
  <c r="AA48" i="3"/>
  <c r="Z48" i="3"/>
  <c r="U48" i="3"/>
  <c r="X48" i="3" s="1"/>
  <c r="AE48" i="3" s="1"/>
  <c r="K54" i="3"/>
  <c r="A48" i="3"/>
  <c r="AA47" i="3"/>
  <c r="Z47" i="3"/>
  <c r="U47" i="3"/>
  <c r="AB47" i="3" s="1"/>
  <c r="S47" i="3"/>
  <c r="Q47" i="3"/>
  <c r="R47" i="3" s="1"/>
  <c r="K53" i="3"/>
  <c r="A47" i="3"/>
  <c r="AA46" i="3"/>
  <c r="Z46" i="3"/>
  <c r="U46" i="3"/>
  <c r="AB46" i="3" s="1"/>
  <c r="K52" i="3"/>
  <c r="A46" i="3"/>
  <c r="AB45" i="3"/>
  <c r="Z45" i="3"/>
  <c r="U45" i="3"/>
  <c r="X45" i="3" s="1"/>
  <c r="AE45" i="3" s="1"/>
  <c r="K51" i="3"/>
  <c r="A45" i="3"/>
  <c r="AA44" i="3"/>
  <c r="Z44" i="3"/>
  <c r="U44" i="3"/>
  <c r="AB44" i="3" s="1"/>
  <c r="K50" i="3"/>
  <c r="A44" i="3"/>
  <c r="AA43" i="3"/>
  <c r="Z43" i="3"/>
  <c r="U43" i="3"/>
  <c r="K49" i="3"/>
  <c r="A43" i="3"/>
  <c r="AB42" i="3"/>
  <c r="Z42" i="3"/>
  <c r="U42" i="3"/>
  <c r="K48" i="3"/>
  <c r="A42" i="3"/>
  <c r="AB41" i="3"/>
  <c r="Z41" i="3"/>
  <c r="U41" i="3"/>
  <c r="X41" i="3" s="1"/>
  <c r="AE41" i="3" s="1"/>
  <c r="S41" i="3"/>
  <c r="K47" i="3"/>
  <c r="A41" i="3"/>
  <c r="AA40" i="3"/>
  <c r="Z40" i="3"/>
  <c r="U40" i="3"/>
  <c r="Y40" i="3" s="1"/>
  <c r="AF40" i="3" s="1"/>
  <c r="S40" i="3"/>
  <c r="K46" i="3"/>
  <c r="A40" i="3"/>
  <c r="AB39" i="3"/>
  <c r="Z39" i="3"/>
  <c r="U39" i="3"/>
  <c r="X39" i="3" s="1"/>
  <c r="AE39" i="3" s="1"/>
  <c r="S39" i="3"/>
  <c r="Q39" i="3"/>
  <c r="R39" i="3" s="1"/>
  <c r="K45" i="3"/>
  <c r="A39" i="3"/>
  <c r="AA38" i="3"/>
  <c r="Z38" i="3"/>
  <c r="U38" i="3"/>
  <c r="AB38" i="3" s="1"/>
  <c r="Q38" i="3"/>
  <c r="K44" i="3"/>
  <c r="A38" i="3"/>
  <c r="AA37" i="3"/>
  <c r="Z37" i="3"/>
  <c r="U37" i="3"/>
  <c r="X37" i="3" s="1"/>
  <c r="AE37" i="3" s="1"/>
  <c r="K43" i="3"/>
  <c r="A37" i="3"/>
  <c r="AB36" i="3"/>
  <c r="AA36" i="3"/>
  <c r="U36" i="3"/>
  <c r="Z36" i="3" s="1"/>
  <c r="K42" i="3"/>
  <c r="A36" i="3"/>
  <c r="AA35" i="3"/>
  <c r="Z35" i="3"/>
  <c r="U35" i="3"/>
  <c r="S35" i="3"/>
  <c r="K41" i="3"/>
  <c r="A35" i="3"/>
  <c r="AA34" i="3"/>
  <c r="Z34" i="3"/>
  <c r="U34" i="3"/>
  <c r="Y34" i="3" s="1"/>
  <c r="AF34" i="3" s="1"/>
  <c r="S34" i="3"/>
  <c r="K40" i="3"/>
  <c r="A34" i="3"/>
  <c r="AA33" i="3"/>
  <c r="Z33" i="3"/>
  <c r="U33" i="3"/>
  <c r="AB33" i="3" s="1"/>
  <c r="K39" i="3"/>
  <c r="A33" i="3"/>
  <c r="AB32" i="3"/>
  <c r="AA32" i="3"/>
  <c r="U32" i="3"/>
  <c r="X32" i="3" s="1"/>
  <c r="AE32" i="3" s="1"/>
  <c r="K38" i="3"/>
  <c r="A32" i="3"/>
  <c r="AA31" i="3"/>
  <c r="Z31" i="3"/>
  <c r="U31" i="3"/>
  <c r="AB31" i="3" s="1"/>
  <c r="S31" i="3"/>
  <c r="K37" i="3"/>
  <c r="A31" i="3"/>
  <c r="AB30" i="3"/>
  <c r="Z30" i="3"/>
  <c r="U30" i="3"/>
  <c r="X30" i="3" s="1"/>
  <c r="AE30" i="3" s="1"/>
  <c r="K36" i="3"/>
  <c r="A30" i="3"/>
  <c r="AB29" i="3"/>
  <c r="Z29" i="3"/>
  <c r="U29" i="3"/>
  <c r="AA29" i="3" s="1"/>
  <c r="A29" i="3"/>
  <c r="AA28" i="3"/>
  <c r="Z28" i="3"/>
  <c r="U28" i="3"/>
  <c r="AB28" i="3" s="1"/>
  <c r="S28" i="3"/>
  <c r="A28" i="3"/>
  <c r="AA27" i="3"/>
  <c r="Z27" i="3"/>
  <c r="U27" i="3"/>
  <c r="S27" i="3"/>
  <c r="A27" i="3"/>
  <c r="AA26" i="3"/>
  <c r="Z26" i="3"/>
  <c r="U26" i="3"/>
  <c r="AB26" i="3" s="1"/>
  <c r="A26" i="3"/>
  <c r="AA25" i="3"/>
  <c r="Z25" i="3"/>
  <c r="U25" i="3"/>
  <c r="AB25" i="3" s="1"/>
  <c r="S25" i="3"/>
  <c r="Q25" i="3"/>
  <c r="A25" i="3"/>
  <c r="AB24" i="3"/>
  <c r="Z24" i="3"/>
  <c r="U24" i="3"/>
  <c r="X24" i="3" s="1"/>
  <c r="AE24" i="3" s="1"/>
  <c r="S24" i="3"/>
  <c r="A24" i="3"/>
  <c r="AB23" i="3"/>
  <c r="Z23" i="3"/>
  <c r="U23" i="3"/>
  <c r="X23" i="3" s="1"/>
  <c r="AE23" i="3" s="1"/>
  <c r="A23" i="3"/>
  <c r="AA22" i="3"/>
  <c r="Z22" i="3"/>
  <c r="U22" i="3"/>
  <c r="AB22" i="3" s="1"/>
  <c r="S22" i="3"/>
  <c r="A22" i="3"/>
  <c r="AA21" i="3"/>
  <c r="Z21" i="3"/>
  <c r="U21" i="3"/>
  <c r="AB21" i="3" s="1"/>
  <c r="A21" i="3"/>
  <c r="AB20" i="3"/>
  <c r="Z20" i="3"/>
  <c r="U20" i="3"/>
  <c r="X20" i="3" s="1"/>
  <c r="AE20" i="3" s="1"/>
  <c r="S20" i="3"/>
  <c r="A20" i="3"/>
  <c r="AA19" i="3"/>
  <c r="Z19" i="3"/>
  <c r="U19" i="3"/>
  <c r="AB19" i="3" s="1"/>
  <c r="A19" i="3"/>
  <c r="AA18" i="3"/>
  <c r="Z18" i="3"/>
  <c r="U18" i="3"/>
  <c r="AB18" i="3" s="1"/>
  <c r="A18" i="3"/>
  <c r="AB17" i="3"/>
  <c r="Z17" i="3"/>
  <c r="U17" i="3"/>
  <c r="AA17" i="3" s="1"/>
  <c r="A17" i="3"/>
  <c r="AB16" i="3"/>
  <c r="Z16" i="3"/>
  <c r="U16" i="3"/>
  <c r="AA16" i="3" s="1"/>
  <c r="S16" i="3"/>
  <c r="A16" i="3"/>
  <c r="AA15" i="3"/>
  <c r="Z15" i="3"/>
  <c r="U15" i="3"/>
  <c r="S15" i="3"/>
  <c r="A15" i="3"/>
  <c r="AB14" i="3"/>
  <c r="Z14" i="3"/>
  <c r="U14" i="3"/>
  <c r="AA14" i="3" s="1"/>
  <c r="A14" i="3"/>
  <c r="AA13" i="3"/>
  <c r="Z13" i="3"/>
  <c r="U13" i="3"/>
  <c r="S13" i="3"/>
  <c r="A13" i="3"/>
  <c r="AB12" i="3"/>
  <c r="AA12" i="3"/>
  <c r="U12" i="3"/>
  <c r="X12" i="3" s="1"/>
  <c r="AE12" i="3" s="1"/>
  <c r="A12" i="3"/>
  <c r="AB11" i="3"/>
  <c r="Z11" i="3"/>
  <c r="U11" i="3"/>
  <c r="X11" i="3" s="1"/>
  <c r="AE11" i="3" s="1"/>
  <c r="S11" i="3"/>
  <c r="A11" i="3"/>
  <c r="AA10" i="3"/>
  <c r="Z10" i="3"/>
  <c r="U10" i="3"/>
  <c r="Y10" i="3" s="1"/>
  <c r="AF10" i="3" s="1"/>
  <c r="A10" i="3"/>
  <c r="AB9" i="3"/>
  <c r="AA9" i="3"/>
  <c r="U9" i="3"/>
  <c r="X9" i="3" s="1"/>
  <c r="AE9" i="3" s="1"/>
  <c r="A9" i="3"/>
  <c r="AA8" i="3"/>
  <c r="Z8" i="3"/>
  <c r="U8" i="3"/>
  <c r="S8" i="3"/>
  <c r="A8" i="3"/>
  <c r="AB7" i="3"/>
  <c r="AA7" i="3"/>
  <c r="U7" i="3"/>
  <c r="X7" i="3" s="1"/>
  <c r="AE7" i="3" s="1"/>
  <c r="A7" i="3"/>
  <c r="AA6" i="3"/>
  <c r="Z6" i="3"/>
  <c r="U6" i="3"/>
  <c r="Y6" i="3" s="1"/>
  <c r="AF6" i="3" s="1"/>
  <c r="Q6" i="3"/>
  <c r="A6" i="3"/>
  <c r="AB5" i="3"/>
  <c r="AA5" i="3"/>
  <c r="U5" i="3"/>
  <c r="X5" i="3" s="1"/>
  <c r="AE5" i="3" s="1"/>
  <c r="S5" i="3"/>
  <c r="A5" i="3"/>
  <c r="AB4" i="3"/>
  <c r="Z4" i="3"/>
  <c r="U4" i="3"/>
  <c r="X4" i="3" s="1"/>
  <c r="AE4" i="3" s="1"/>
  <c r="A4" i="3"/>
  <c r="AB3" i="3"/>
  <c r="Z3" i="3"/>
  <c r="U3" i="3"/>
  <c r="AA3" i="3" s="1"/>
  <c r="S3" i="3"/>
  <c r="Q3" i="3"/>
  <c r="A3" i="3"/>
  <c r="G1" i="3"/>
  <c r="M29" i="3" s="1"/>
  <c r="F22" i="2" s="1"/>
  <c r="D1" i="3"/>
  <c r="M12" i="3" s="1"/>
  <c r="F9" i="2" s="1"/>
  <c r="Q30" i="3" l="1"/>
  <c r="R30" i="3" s="1"/>
  <c r="R38" i="3"/>
  <c r="K27" i="4"/>
  <c r="BY27" i="4"/>
  <c r="CC27" i="4"/>
  <c r="G28" i="4"/>
  <c r="BZ15" i="4"/>
  <c r="BX15" i="4"/>
  <c r="BZ21" i="4"/>
  <c r="Q16" i="3"/>
  <c r="R16" i="3" s="1"/>
  <c r="Q28" i="3"/>
  <c r="R28" i="3" s="1"/>
  <c r="Q40" i="3"/>
  <c r="R40" i="3" s="1"/>
  <c r="R57" i="3"/>
  <c r="Q64" i="3"/>
  <c r="R64" i="3" s="1"/>
  <c r="G15" i="4"/>
  <c r="BX25" i="4"/>
  <c r="BX21" i="4"/>
  <c r="AG109" i="3"/>
  <c r="E3" i="5"/>
  <c r="BZ27" i="4"/>
  <c r="Q18" i="3"/>
  <c r="R18" i="3" s="1"/>
  <c r="H7" i="3"/>
  <c r="Q49" i="3"/>
  <c r="R49" i="3" s="1"/>
  <c r="R50" i="3"/>
  <c r="R133" i="3"/>
  <c r="D9" i="2"/>
  <c r="F76" i="2"/>
  <c r="F81" i="2" s="1"/>
  <c r="F33" i="2"/>
  <c r="F78" i="2"/>
  <c r="D22" i="2"/>
  <c r="D78" i="2" s="1"/>
  <c r="R80" i="3"/>
  <c r="V81" i="3"/>
  <c r="R117" i="3"/>
  <c r="R3" i="3"/>
  <c r="R6" i="3"/>
  <c r="Q31" i="3"/>
  <c r="R31" i="3" s="1"/>
  <c r="V83" i="3"/>
  <c r="BX27" i="4"/>
  <c r="CB27" i="4"/>
  <c r="H3" i="3"/>
  <c r="Q19" i="3"/>
  <c r="R19" i="3" s="1"/>
  <c r="R55" i="3"/>
  <c r="Q58" i="3"/>
  <c r="R58" i="3" s="1"/>
  <c r="S4" i="3"/>
  <c r="S6" i="3"/>
  <c r="S7" i="3"/>
  <c r="S9" i="3"/>
  <c r="S10" i="3"/>
  <c r="S12" i="3"/>
  <c r="S14" i="3"/>
  <c r="S17" i="3"/>
  <c r="S18" i="3"/>
  <c r="S19" i="3"/>
  <c r="S21" i="3"/>
  <c r="S23" i="3"/>
  <c r="S26" i="3"/>
  <c r="S29" i="3"/>
  <c r="S30" i="3"/>
  <c r="H11" i="3"/>
  <c r="S32" i="3"/>
  <c r="S33" i="3"/>
  <c r="S36" i="3"/>
  <c r="S37" i="3"/>
  <c r="S38" i="3"/>
  <c r="S42" i="3"/>
  <c r="S43" i="3"/>
  <c r="S44" i="3"/>
  <c r="S45" i="3"/>
  <c r="S46" i="3"/>
  <c r="S48" i="3"/>
  <c r="S52" i="3"/>
  <c r="S55" i="3"/>
  <c r="S57" i="3"/>
  <c r="S58" i="3"/>
  <c r="S59" i="3"/>
  <c r="S60" i="3"/>
  <c r="S62" i="3"/>
  <c r="S67" i="3"/>
  <c r="R93" i="3"/>
  <c r="R109" i="3"/>
  <c r="R125" i="3"/>
  <c r="R141" i="3"/>
  <c r="Q10" i="3"/>
  <c r="R10" i="3" s="1"/>
  <c r="Q44" i="3"/>
  <c r="R44" i="3" s="1"/>
  <c r="Q60" i="3"/>
  <c r="R60" i="3" s="1"/>
  <c r="Q67" i="3"/>
  <c r="R67" i="3" s="1"/>
  <c r="Q14" i="3"/>
  <c r="R14" i="3" s="1"/>
  <c r="Q22" i="3"/>
  <c r="R22" i="3" s="1"/>
  <c r="Q41" i="3"/>
  <c r="R41" i="3" s="1"/>
  <c r="Q46" i="3"/>
  <c r="R46" i="3" s="1"/>
  <c r="Q51" i="3"/>
  <c r="R51" i="3" s="1"/>
  <c r="Q62" i="3"/>
  <c r="R62" i="3" s="1"/>
  <c r="Q65" i="3"/>
  <c r="R65" i="3" s="1"/>
  <c r="V14" i="3"/>
  <c r="V16" i="3"/>
  <c r="V29" i="3"/>
  <c r="H23" i="3"/>
  <c r="V58" i="3"/>
  <c r="R69" i="3"/>
  <c r="R71" i="3"/>
  <c r="R72" i="3"/>
  <c r="V73" i="3"/>
  <c r="V75" i="3"/>
  <c r="R85" i="3"/>
  <c r="R87" i="3"/>
  <c r="R88" i="3"/>
  <c r="R89" i="3"/>
  <c r="R97" i="3"/>
  <c r="R105" i="3"/>
  <c r="R113" i="3"/>
  <c r="R121" i="3"/>
  <c r="R129" i="3"/>
  <c r="R137" i="3"/>
  <c r="R145" i="3"/>
  <c r="R146" i="3"/>
  <c r="R147" i="3"/>
  <c r="R148" i="3"/>
  <c r="R149" i="3"/>
  <c r="R150" i="3"/>
  <c r="R151" i="3"/>
  <c r="R152" i="3"/>
  <c r="V152" i="3"/>
  <c r="Q20" i="3"/>
  <c r="R20" i="3" s="1"/>
  <c r="Q21" i="3"/>
  <c r="R21" i="3" s="1"/>
  <c r="Q29" i="3"/>
  <c r="R29" i="3" s="1"/>
  <c r="Q33" i="3"/>
  <c r="R33" i="3" s="1"/>
  <c r="Q34" i="3"/>
  <c r="R34" i="3" s="1"/>
  <c r="Q36" i="3"/>
  <c r="R36" i="3" s="1"/>
  <c r="Q52" i="3"/>
  <c r="R52" i="3" s="1"/>
  <c r="Q54" i="3"/>
  <c r="R54" i="3" s="1"/>
  <c r="AB6" i="3"/>
  <c r="Q23" i="3"/>
  <c r="R23" i="3" s="1"/>
  <c r="R25" i="3"/>
  <c r="AB34" i="3"/>
  <c r="AB40" i="3"/>
  <c r="V50" i="3"/>
  <c r="CC12" i="4" s="1"/>
  <c r="V51" i="3"/>
  <c r="Z53" i="3"/>
  <c r="AB58" i="3"/>
  <c r="V64" i="3"/>
  <c r="V67" i="3"/>
  <c r="V69" i="3"/>
  <c r="V71" i="3"/>
  <c r="R76" i="3"/>
  <c r="V77" i="3"/>
  <c r="V79" i="3"/>
  <c r="R84" i="3"/>
  <c r="V85" i="3"/>
  <c r="V87" i="3"/>
  <c r="R91" i="3"/>
  <c r="R95" i="3"/>
  <c r="R99" i="3"/>
  <c r="R103" i="3"/>
  <c r="R107" i="3"/>
  <c r="R111" i="3"/>
  <c r="R115" i="3"/>
  <c r="R119" i="3"/>
  <c r="R123" i="3"/>
  <c r="R127" i="3"/>
  <c r="R131" i="3"/>
  <c r="R135" i="3"/>
  <c r="R139" i="3"/>
  <c r="R143" i="3"/>
  <c r="Q17" i="3"/>
  <c r="R17" i="3" s="1"/>
  <c r="Q24" i="3"/>
  <c r="R24" i="3" s="1"/>
  <c r="Q26" i="3"/>
  <c r="R26" i="3" s="1"/>
  <c r="H5" i="3"/>
  <c r="V6" i="3"/>
  <c r="H12" i="3"/>
  <c r="V17" i="3"/>
  <c r="V34" i="3"/>
  <c r="V40" i="3"/>
  <c r="AB51" i="3"/>
  <c r="AB67" i="3"/>
  <c r="Y8" i="3"/>
  <c r="AF8" i="3" s="1"/>
  <c r="AB8" i="3"/>
  <c r="V8" i="3"/>
  <c r="Q8" i="3"/>
  <c r="R8" i="3" s="1"/>
  <c r="Y13" i="3"/>
  <c r="AF13" i="3" s="1"/>
  <c r="AB13" i="3"/>
  <c r="V13" i="3"/>
  <c r="Q13" i="3"/>
  <c r="R13" i="3" s="1"/>
  <c r="Y15" i="3"/>
  <c r="AF15" i="3" s="1"/>
  <c r="AB15" i="3"/>
  <c r="V15" i="3"/>
  <c r="Q15" i="3"/>
  <c r="R15" i="3" s="1"/>
  <c r="Y27" i="3"/>
  <c r="AF27" i="3" s="1"/>
  <c r="AB27" i="3"/>
  <c r="V27" i="3"/>
  <c r="CG17" i="4" s="1"/>
  <c r="CG21" i="4" s="1"/>
  <c r="Q27" i="3"/>
  <c r="R27" i="3" s="1"/>
  <c r="H30" i="3"/>
  <c r="AC30" i="3" s="1"/>
  <c r="H28" i="3"/>
  <c r="AC28" i="3" s="1"/>
  <c r="B19" i="5" s="1"/>
  <c r="H24" i="3"/>
  <c r="AC24" i="3" s="1"/>
  <c r="H21" i="3"/>
  <c r="AC21" i="3" s="1"/>
  <c r="H18" i="3"/>
  <c r="AC18" i="3" s="1"/>
  <c r="H17" i="3"/>
  <c r="AC17" i="3" s="1"/>
  <c r="H16" i="3"/>
  <c r="AC16" i="3" s="1"/>
  <c r="H14" i="3"/>
  <c r="AC14" i="3" s="1"/>
  <c r="H10" i="3"/>
  <c r="AC10" i="3" s="1"/>
  <c r="H6" i="3"/>
  <c r="AC6" i="3" s="1"/>
  <c r="Y35" i="3"/>
  <c r="AF35" i="3" s="1"/>
  <c r="AB35" i="3"/>
  <c r="V35" i="3"/>
  <c r="Q35" i="3"/>
  <c r="R35" i="3" s="1"/>
  <c r="AA42" i="3"/>
  <c r="V42" i="3"/>
  <c r="CF11" i="4" s="1"/>
  <c r="CF15" i="4" s="1"/>
  <c r="Q42" i="3"/>
  <c r="R42" i="3" s="1"/>
  <c r="Y43" i="3"/>
  <c r="AF43" i="3" s="1"/>
  <c r="AB43" i="3"/>
  <c r="V43" i="3"/>
  <c r="Q43" i="3"/>
  <c r="R43" i="3" s="1"/>
  <c r="CC15" i="4"/>
  <c r="Y59" i="3"/>
  <c r="AF59" i="3" s="1"/>
  <c r="AB59" i="3"/>
  <c r="V59" i="3"/>
  <c r="Q59" i="3"/>
  <c r="R59" i="3" s="1"/>
  <c r="Y61" i="3"/>
  <c r="AF61" i="3" s="1"/>
  <c r="AB61" i="3"/>
  <c r="V61" i="3"/>
  <c r="CB18" i="4" s="1"/>
  <c r="CB21" i="4" s="1"/>
  <c r="Y68" i="3"/>
  <c r="AB68" i="3"/>
  <c r="V68" i="3"/>
  <c r="Q68" i="3"/>
  <c r="R68" i="3" s="1"/>
  <c r="Y70" i="3"/>
  <c r="AF70" i="3" s="1"/>
  <c r="V70" i="3"/>
  <c r="Y74" i="3"/>
  <c r="AF74" i="3" s="1"/>
  <c r="V74" i="3"/>
  <c r="Y78" i="3"/>
  <c r="AF78" i="3" s="1"/>
  <c r="V78" i="3"/>
  <c r="Y82" i="3"/>
  <c r="AF82" i="3" s="1"/>
  <c r="V82" i="3"/>
  <c r="Y86" i="3"/>
  <c r="AF86" i="3" s="1"/>
  <c r="V86" i="3"/>
  <c r="AA4" i="3"/>
  <c r="V4" i="3"/>
  <c r="BU11" i="4" s="1"/>
  <c r="Q4" i="3"/>
  <c r="R4" i="3" s="1"/>
  <c r="Y5" i="3"/>
  <c r="AF5" i="3" s="1"/>
  <c r="Z5" i="3"/>
  <c r="V5" i="3"/>
  <c r="BV8" i="4" s="1"/>
  <c r="Q5" i="3"/>
  <c r="R5" i="3" s="1"/>
  <c r="Y7" i="3"/>
  <c r="AF7" i="3" s="1"/>
  <c r="Z7" i="3"/>
  <c r="V7" i="3"/>
  <c r="BU6" i="4" s="1"/>
  <c r="Q7" i="3"/>
  <c r="R7" i="3" s="1"/>
  <c r="Y9" i="3"/>
  <c r="AF9" i="3" s="1"/>
  <c r="Z9" i="3"/>
  <c r="V9" i="3"/>
  <c r="BU7" i="4" s="1"/>
  <c r="Q9" i="3"/>
  <c r="R9" i="3" s="1"/>
  <c r="AA11" i="3"/>
  <c r="V11" i="3"/>
  <c r="Q11" i="3"/>
  <c r="R11" i="3" s="1"/>
  <c r="Y12" i="3"/>
  <c r="AF12" i="3" s="1"/>
  <c r="Z12" i="3"/>
  <c r="V12" i="3"/>
  <c r="BW6" i="4" s="1"/>
  <c r="Q12" i="3"/>
  <c r="R12" i="3" s="1"/>
  <c r="Y32" i="3"/>
  <c r="AF32" i="3" s="1"/>
  <c r="Z32" i="3"/>
  <c r="V32" i="3"/>
  <c r="BW7" i="4" s="1"/>
  <c r="Q32" i="3"/>
  <c r="R32" i="3" s="1"/>
  <c r="Y37" i="3"/>
  <c r="AF37" i="3" s="1"/>
  <c r="AB37" i="3"/>
  <c r="V37" i="3"/>
  <c r="Q37" i="3"/>
  <c r="R37" i="3" s="1"/>
  <c r="AA45" i="3"/>
  <c r="V45" i="3"/>
  <c r="Q45" i="3"/>
  <c r="R45" i="3" s="1"/>
  <c r="Y48" i="3"/>
  <c r="AF48" i="3" s="1"/>
  <c r="AB48" i="3"/>
  <c r="V48" i="3"/>
  <c r="Q48" i="3"/>
  <c r="R48" i="3" s="1"/>
  <c r="Y56" i="3"/>
  <c r="AF56" i="3" s="1"/>
  <c r="AB56" i="3"/>
  <c r="V56" i="3"/>
  <c r="Q56" i="3"/>
  <c r="R56" i="3" s="1"/>
  <c r="Y66" i="3"/>
  <c r="AF66" i="3" s="1"/>
  <c r="AB66" i="3"/>
  <c r="V66" i="3"/>
  <c r="Q66" i="3"/>
  <c r="R66" i="3" s="1"/>
  <c r="Y72" i="3"/>
  <c r="AF72" i="3" s="1"/>
  <c r="V72" i="3"/>
  <c r="Y76" i="3"/>
  <c r="AF76" i="3" s="1"/>
  <c r="V76" i="3"/>
  <c r="Y80" i="3"/>
  <c r="AF80" i="3" s="1"/>
  <c r="V80" i="3"/>
  <c r="Y84" i="3"/>
  <c r="AF84" i="3" s="1"/>
  <c r="V84" i="3"/>
  <c r="X8" i="3"/>
  <c r="AE8" i="3" s="1"/>
  <c r="X13" i="3"/>
  <c r="AE13" i="3" s="1"/>
  <c r="X15" i="3"/>
  <c r="AE15" i="3" s="1"/>
  <c r="H20" i="3"/>
  <c r="AC20" i="3" s="1"/>
  <c r="H25" i="3"/>
  <c r="AC25" i="3" s="1"/>
  <c r="X27" i="3"/>
  <c r="X35" i="3"/>
  <c r="X42" i="3"/>
  <c r="X43" i="3"/>
  <c r="X59" i="3"/>
  <c r="AE59" i="3" s="1"/>
  <c r="X61" i="3"/>
  <c r="AE61" i="3" s="1"/>
  <c r="X68" i="3"/>
  <c r="AE68" i="3" s="1"/>
  <c r="R70" i="3"/>
  <c r="X70" i="3"/>
  <c r="AE70" i="3" s="1"/>
  <c r="R74" i="3"/>
  <c r="X74" i="3"/>
  <c r="AE74" i="3" s="1"/>
  <c r="R78" i="3"/>
  <c r="X78" i="3"/>
  <c r="AE78" i="3" s="1"/>
  <c r="R82" i="3"/>
  <c r="X82" i="3"/>
  <c r="AE82" i="3" s="1"/>
  <c r="R86" i="3"/>
  <c r="X86" i="3"/>
  <c r="AE86" i="3" s="1"/>
  <c r="X6" i="3"/>
  <c r="X14" i="3"/>
  <c r="AE14" i="3" s="1"/>
  <c r="X16" i="3"/>
  <c r="AE16" i="3" s="1"/>
  <c r="X17" i="3"/>
  <c r="AE17" i="3" s="1"/>
  <c r="X29" i="3"/>
  <c r="AE29" i="3" s="1"/>
  <c r="X34" i="3"/>
  <c r="X40" i="3"/>
  <c r="X50" i="3"/>
  <c r="AE50" i="3" s="1"/>
  <c r="X51" i="3"/>
  <c r="AE51" i="3" s="1"/>
  <c r="X53" i="3"/>
  <c r="AE53" i="3" s="1"/>
  <c r="X58" i="3"/>
  <c r="AE58" i="3" s="1"/>
  <c r="X64" i="3"/>
  <c r="AE64" i="3" s="1"/>
  <c r="X67" i="3"/>
  <c r="X69" i="3"/>
  <c r="AE69" i="3" s="1"/>
  <c r="X71" i="3"/>
  <c r="AE71" i="3" s="1"/>
  <c r="X73" i="3"/>
  <c r="AE73" i="3" s="1"/>
  <c r="X75" i="3"/>
  <c r="AE75" i="3" s="1"/>
  <c r="X77" i="3"/>
  <c r="AE77" i="3" s="1"/>
  <c r="X79" i="3"/>
  <c r="AE79" i="3" s="1"/>
  <c r="X81" i="3"/>
  <c r="AE81" i="3" s="1"/>
  <c r="X83" i="3"/>
  <c r="AE83" i="3" s="1"/>
  <c r="X85" i="3"/>
  <c r="AE85" i="3" s="1"/>
  <c r="X87" i="3"/>
  <c r="AE87" i="3" s="1"/>
  <c r="R90" i="3"/>
  <c r="R92" i="3"/>
  <c r="R94" i="3"/>
  <c r="R96" i="3"/>
  <c r="R98" i="3"/>
  <c r="R100" i="3"/>
  <c r="R102" i="3"/>
  <c r="R104" i="3"/>
  <c r="R106" i="3"/>
  <c r="R108" i="3"/>
  <c r="R110" i="3"/>
  <c r="R112" i="3"/>
  <c r="R114" i="3"/>
  <c r="R116" i="3"/>
  <c r="R118" i="3"/>
  <c r="R120" i="3"/>
  <c r="R122" i="3"/>
  <c r="R124" i="3"/>
  <c r="R126" i="3"/>
  <c r="R128" i="3"/>
  <c r="R130" i="3"/>
  <c r="R132" i="3"/>
  <c r="R134" i="3"/>
  <c r="R136" i="3"/>
  <c r="R138" i="3"/>
  <c r="R140" i="3"/>
  <c r="R142" i="3"/>
  <c r="R144" i="3"/>
  <c r="X152" i="3"/>
  <c r="AE152" i="3" s="1"/>
  <c r="BX29" i="4"/>
  <c r="BZ29" i="4"/>
  <c r="D26" i="4"/>
  <c r="H26" i="4"/>
  <c r="L26" i="4"/>
  <c r="D28" i="4"/>
  <c r="F28" i="4"/>
  <c r="H28" i="4"/>
  <c r="J28" i="4"/>
  <c r="L28" i="4"/>
  <c r="CL9" i="4"/>
  <c r="N25" i="4"/>
  <c r="N9" i="4"/>
  <c r="R25" i="4"/>
  <c r="R9" i="4"/>
  <c r="E25" i="4"/>
  <c r="E9" i="4"/>
  <c r="G25" i="4"/>
  <c r="G9" i="4"/>
  <c r="I25" i="4"/>
  <c r="I9" i="4"/>
  <c r="K25" i="4"/>
  <c r="K9" i="4"/>
  <c r="M25" i="4"/>
  <c r="M9" i="4"/>
  <c r="O25" i="4"/>
  <c r="O9" i="4"/>
  <c r="Q25" i="4"/>
  <c r="Q9" i="4"/>
  <c r="S25" i="4"/>
  <c r="S9" i="4"/>
  <c r="U25" i="4"/>
  <c r="U9" i="4"/>
  <c r="D25" i="4"/>
  <c r="D9" i="4"/>
  <c r="F25" i="4"/>
  <c r="F9" i="4"/>
  <c r="H25" i="4"/>
  <c r="H9" i="4"/>
  <c r="J25" i="4"/>
  <c r="J9" i="4"/>
  <c r="L25" i="4"/>
  <c r="L9" i="4"/>
  <c r="P25" i="4"/>
  <c r="P9" i="4"/>
  <c r="T25" i="4"/>
  <c r="T9" i="4"/>
  <c r="V25" i="4"/>
  <c r="V9" i="4"/>
  <c r="BW25" i="4"/>
  <c r="BY9" i="4"/>
  <c r="CA25" i="4"/>
  <c r="CA29" i="4" s="1"/>
  <c r="CA9" i="4"/>
  <c r="CC25" i="4"/>
  <c r="CC9" i="4"/>
  <c r="CE9" i="4"/>
  <c r="CG9" i="4"/>
  <c r="CI9" i="4"/>
  <c r="CK9" i="4"/>
  <c r="CM25" i="4"/>
  <c r="CM29" i="4" s="1"/>
  <c r="CM9" i="4"/>
  <c r="E26" i="4"/>
  <c r="G26" i="4"/>
  <c r="I26" i="4"/>
  <c r="K26" i="4"/>
  <c r="E27" i="4"/>
  <c r="G27" i="4"/>
  <c r="C21" i="4"/>
  <c r="D15" i="4"/>
  <c r="F15" i="4"/>
  <c r="H15" i="4"/>
  <c r="J15" i="4"/>
  <c r="L15" i="4"/>
  <c r="N15" i="4"/>
  <c r="P15" i="4"/>
  <c r="R15" i="4"/>
  <c r="T15" i="4"/>
  <c r="V15" i="4"/>
  <c r="BX9" i="4"/>
  <c r="BZ9" i="4"/>
  <c r="CB9" i="4"/>
  <c r="CD9" i="4"/>
  <c r="CF9" i="4"/>
  <c r="CH9" i="4"/>
  <c r="CJ9" i="4"/>
  <c r="H22" i="3"/>
  <c r="H19" i="3"/>
  <c r="H15" i="3"/>
  <c r="H13" i="3"/>
  <c r="H9" i="3"/>
  <c r="H8" i="3"/>
  <c r="H4" i="3"/>
  <c r="H152" i="3"/>
  <c r="H151" i="3"/>
  <c r="AC151" i="3" s="1"/>
  <c r="H150" i="3"/>
  <c r="AC150" i="3" s="1"/>
  <c r="H149" i="3"/>
  <c r="AC149" i="3" s="1"/>
  <c r="H148" i="3"/>
  <c r="H147" i="3"/>
  <c r="AC147" i="3" s="1"/>
  <c r="H146" i="3"/>
  <c r="AC146" i="3" s="1"/>
  <c r="AG146" i="3" s="1"/>
  <c r="H145" i="3"/>
  <c r="AC145" i="3" s="1"/>
  <c r="H144" i="3"/>
  <c r="AC144" i="3" s="1"/>
  <c r="AG144" i="3" s="1"/>
  <c r="H143" i="3"/>
  <c r="AC143" i="3" s="1"/>
  <c r="H142" i="3"/>
  <c r="H141" i="3"/>
  <c r="AC141" i="3" s="1"/>
  <c r="H140" i="3"/>
  <c r="H139" i="3"/>
  <c r="H138" i="3"/>
  <c r="AC138" i="3" s="1"/>
  <c r="AG138" i="3" s="1"/>
  <c r="H137" i="3"/>
  <c r="AC137" i="3" s="1"/>
  <c r="H136" i="3"/>
  <c r="AC136" i="3" s="1"/>
  <c r="AG136" i="3" s="1"/>
  <c r="H135" i="3"/>
  <c r="H134" i="3"/>
  <c r="H133" i="3"/>
  <c r="AC133" i="3" s="1"/>
  <c r="H132" i="3"/>
  <c r="H131" i="3"/>
  <c r="AC131" i="3" s="1"/>
  <c r="H130" i="3"/>
  <c r="AC130" i="3" s="1"/>
  <c r="AG130" i="3" s="1"/>
  <c r="H129" i="3"/>
  <c r="AC129" i="3" s="1"/>
  <c r="H128" i="3"/>
  <c r="AC128" i="3" s="1"/>
  <c r="AG128" i="3" s="1"/>
  <c r="H127" i="3"/>
  <c r="AC127" i="3" s="1"/>
  <c r="H126" i="3"/>
  <c r="H125" i="3"/>
  <c r="AC125" i="3" s="1"/>
  <c r="H124" i="3"/>
  <c r="H123" i="3"/>
  <c r="H122" i="3"/>
  <c r="AC122" i="3" s="1"/>
  <c r="AG122" i="3" s="1"/>
  <c r="H121" i="3"/>
  <c r="AC121" i="3" s="1"/>
  <c r="H120" i="3"/>
  <c r="AC120" i="3" s="1"/>
  <c r="AG120" i="3" s="1"/>
  <c r="H119" i="3"/>
  <c r="H118" i="3"/>
  <c r="H117" i="3"/>
  <c r="AC117" i="3" s="1"/>
  <c r="H116" i="3"/>
  <c r="H115" i="3"/>
  <c r="AC115" i="3" s="1"/>
  <c r="H114" i="3"/>
  <c r="AC114" i="3" s="1"/>
  <c r="AG114" i="3" s="1"/>
  <c r="H113" i="3"/>
  <c r="AC113" i="3" s="1"/>
  <c r="H112" i="3"/>
  <c r="AC112" i="3" s="1"/>
  <c r="AG112" i="3" s="1"/>
  <c r="H111" i="3"/>
  <c r="AC111" i="3" s="1"/>
  <c r="H110" i="3"/>
  <c r="H109" i="3"/>
  <c r="AC109" i="3" s="1"/>
  <c r="H108" i="3"/>
  <c r="H107" i="3"/>
  <c r="H106" i="3"/>
  <c r="AC106" i="3" s="1"/>
  <c r="AG106" i="3" s="1"/>
  <c r="H105" i="3"/>
  <c r="AC105" i="3" s="1"/>
  <c r="H104" i="3"/>
  <c r="AC104" i="3" s="1"/>
  <c r="AG104" i="3" s="1"/>
  <c r="H103" i="3"/>
  <c r="H102" i="3"/>
  <c r="H101" i="3"/>
  <c r="AC101" i="3" s="1"/>
  <c r="H100" i="3"/>
  <c r="H99" i="3"/>
  <c r="AC99" i="3" s="1"/>
  <c r="H98" i="3"/>
  <c r="AC98" i="3" s="1"/>
  <c r="AG98" i="3" s="1"/>
  <c r="H97" i="3"/>
  <c r="AC97" i="3" s="1"/>
  <c r="H96" i="3"/>
  <c r="AC96" i="3" s="1"/>
  <c r="AG96" i="3" s="1"/>
  <c r="H95" i="3"/>
  <c r="AC95" i="3" s="1"/>
  <c r="H94" i="3"/>
  <c r="H93" i="3"/>
  <c r="AC93" i="3" s="1"/>
  <c r="H92" i="3"/>
  <c r="H91" i="3"/>
  <c r="H90" i="3"/>
  <c r="AC90" i="3" s="1"/>
  <c r="AG90" i="3" s="1"/>
  <c r="H89" i="3"/>
  <c r="AC89" i="3" s="1"/>
  <c r="W3" i="3"/>
  <c r="Y3" i="3"/>
  <c r="U1" i="3"/>
  <c r="M16" i="3" s="1"/>
  <c r="F10" i="2" s="1"/>
  <c r="V3" i="3"/>
  <c r="CB12" i="4" s="1"/>
  <c r="X3" i="3"/>
  <c r="W4" i="3"/>
  <c r="Y4" i="3"/>
  <c r="AF4" i="3" s="1"/>
  <c r="W5" i="3"/>
  <c r="W6" i="3"/>
  <c r="AD6" i="3" s="1"/>
  <c r="W7" i="3"/>
  <c r="W8" i="3"/>
  <c r="W9" i="3"/>
  <c r="V10" i="3"/>
  <c r="BU19" i="4" s="1"/>
  <c r="X10" i="3"/>
  <c r="AE10" i="3" s="1"/>
  <c r="AB10" i="3"/>
  <c r="W11" i="3"/>
  <c r="Y11" i="3"/>
  <c r="AF11" i="3" s="1"/>
  <c r="W12" i="3"/>
  <c r="W13" i="3"/>
  <c r="W14" i="3"/>
  <c r="Y14" i="3"/>
  <c r="AF14" i="3" s="1"/>
  <c r="W15" i="3"/>
  <c r="W16" i="3"/>
  <c r="Y16" i="3"/>
  <c r="AF16" i="3" s="1"/>
  <c r="W17" i="3"/>
  <c r="Y17" i="3"/>
  <c r="AF17" i="3" s="1"/>
  <c r="W18" i="3"/>
  <c r="AD18" i="3" s="1"/>
  <c r="Y18" i="3"/>
  <c r="W19" i="3"/>
  <c r="Y19" i="3"/>
  <c r="AF19" i="3" s="1"/>
  <c r="W20" i="3"/>
  <c r="Y20" i="3"/>
  <c r="AF20" i="3" s="1"/>
  <c r="AA20" i="3"/>
  <c r="W21" i="3"/>
  <c r="Y21" i="3"/>
  <c r="AF21" i="3" s="1"/>
  <c r="W22" i="3"/>
  <c r="Y22" i="3"/>
  <c r="AF22" i="3" s="1"/>
  <c r="W23" i="3"/>
  <c r="Y23" i="3"/>
  <c r="AF23" i="3" s="1"/>
  <c r="AA23" i="3"/>
  <c r="W24" i="3"/>
  <c r="Y24" i="3"/>
  <c r="AF24" i="3" s="1"/>
  <c r="AA24" i="3"/>
  <c r="W25" i="3"/>
  <c r="Y25" i="3"/>
  <c r="AF25" i="3" s="1"/>
  <c r="W26" i="3"/>
  <c r="Y26" i="3"/>
  <c r="AF26" i="3" s="1"/>
  <c r="W28" i="3"/>
  <c r="AD28" i="3" s="1"/>
  <c r="Y28" i="3"/>
  <c r="W30" i="3"/>
  <c r="AD30" i="3" s="1"/>
  <c r="Y30" i="3"/>
  <c r="AA30" i="3"/>
  <c r="W31" i="3"/>
  <c r="AD31" i="3" s="1"/>
  <c r="Y31" i="3"/>
  <c r="AF31" i="3" s="1"/>
  <c r="H33" i="3"/>
  <c r="W33" i="3"/>
  <c r="Y33" i="3"/>
  <c r="AF33" i="3" s="1"/>
  <c r="H35" i="3"/>
  <c r="H36" i="3"/>
  <c r="W36" i="3"/>
  <c r="Y36" i="3"/>
  <c r="AF36" i="3" s="1"/>
  <c r="H38" i="3"/>
  <c r="W38" i="3"/>
  <c r="AD38" i="3" s="1"/>
  <c r="Y38" i="3"/>
  <c r="AF38" i="3" s="1"/>
  <c r="W39" i="3"/>
  <c r="Y39" i="3"/>
  <c r="AF39" i="3" s="1"/>
  <c r="AA39" i="3"/>
  <c r="H41" i="3"/>
  <c r="W41" i="3"/>
  <c r="Y41" i="3"/>
  <c r="AF41" i="3" s="1"/>
  <c r="AA41" i="3"/>
  <c r="H43" i="3"/>
  <c r="H44" i="3"/>
  <c r="W44" i="3"/>
  <c r="AD44" i="3" s="1"/>
  <c r="Y44" i="3"/>
  <c r="AF44" i="3" s="1"/>
  <c r="H46" i="3"/>
  <c r="W46" i="3"/>
  <c r="AD46" i="3" s="1"/>
  <c r="Y46" i="3"/>
  <c r="AF46" i="3" s="1"/>
  <c r="W47" i="3"/>
  <c r="Y47" i="3"/>
  <c r="AF47" i="3" s="1"/>
  <c r="H49" i="3"/>
  <c r="W49" i="3"/>
  <c r="Y49" i="3"/>
  <c r="AF49" i="3" s="1"/>
  <c r="H51" i="3"/>
  <c r="H52" i="3"/>
  <c r="W52" i="3"/>
  <c r="Y52" i="3"/>
  <c r="AF52" i="3" s="1"/>
  <c r="H54" i="3"/>
  <c r="W54" i="3"/>
  <c r="Y54" i="3"/>
  <c r="AF54" i="3" s="1"/>
  <c r="AA54" i="3"/>
  <c r="W55" i="3"/>
  <c r="Y55" i="3"/>
  <c r="AF55" i="3" s="1"/>
  <c r="AA55" i="3"/>
  <c r="H57" i="3"/>
  <c r="W57" i="3"/>
  <c r="AD57" i="3" s="1"/>
  <c r="Y57" i="3"/>
  <c r="AF57" i="3" s="1"/>
  <c r="H59" i="3"/>
  <c r="H60" i="3"/>
  <c r="AE60" i="3" s="1"/>
  <c r="W60" i="3"/>
  <c r="AD60" i="3" s="1"/>
  <c r="Y60" i="3"/>
  <c r="AF60" i="3" s="1"/>
  <c r="AA60" i="3"/>
  <c r="H62" i="3"/>
  <c r="W62" i="3"/>
  <c r="Y62" i="3"/>
  <c r="AF62" i="3" s="1"/>
  <c r="W63" i="3"/>
  <c r="Y63" i="3"/>
  <c r="AF63" i="3" s="1"/>
  <c r="AA63" i="3"/>
  <c r="H65" i="3"/>
  <c r="W65" i="3"/>
  <c r="AD65" i="3" s="1"/>
  <c r="Y65" i="3"/>
  <c r="AA65" i="3"/>
  <c r="H67" i="3"/>
  <c r="H68" i="3"/>
  <c r="H69" i="3"/>
  <c r="AC69" i="3" s="1"/>
  <c r="AG69" i="3" s="1"/>
  <c r="H70" i="3"/>
  <c r="H71" i="3"/>
  <c r="AC71" i="3" s="1"/>
  <c r="AG71" i="3" s="1"/>
  <c r="H72" i="3"/>
  <c r="H73" i="3"/>
  <c r="AC73" i="3" s="1"/>
  <c r="H74" i="3"/>
  <c r="H75" i="3"/>
  <c r="AC75" i="3" s="1"/>
  <c r="AG75" i="3" s="1"/>
  <c r="H76" i="3"/>
  <c r="AC76" i="3" s="1"/>
  <c r="H77" i="3"/>
  <c r="AC77" i="3" s="1"/>
  <c r="AG77" i="3" s="1"/>
  <c r="H78" i="3"/>
  <c r="H79" i="3"/>
  <c r="AC79" i="3" s="1"/>
  <c r="AG79" i="3" s="1"/>
  <c r="H80" i="3"/>
  <c r="AC80" i="3" s="1"/>
  <c r="H81" i="3"/>
  <c r="AC81" i="3" s="1"/>
  <c r="AG81" i="3" s="1"/>
  <c r="H82" i="3"/>
  <c r="H83" i="3"/>
  <c r="AC83" i="3" s="1"/>
  <c r="AG83" i="3" s="1"/>
  <c r="H84" i="3"/>
  <c r="AC84" i="3" s="1"/>
  <c r="H85" i="3"/>
  <c r="AC85" i="3" s="1"/>
  <c r="H86" i="3"/>
  <c r="H87" i="3"/>
  <c r="H88" i="3"/>
  <c r="X88" i="3"/>
  <c r="AE88" i="3" s="1"/>
  <c r="V88" i="3"/>
  <c r="X89" i="3"/>
  <c r="AE89" i="3" s="1"/>
  <c r="V89" i="3"/>
  <c r="X90" i="3"/>
  <c r="AE90" i="3" s="1"/>
  <c r="V90" i="3"/>
  <c r="X91" i="3"/>
  <c r="AE91" i="3" s="1"/>
  <c r="V91" i="3"/>
  <c r="X92" i="3"/>
  <c r="AE92" i="3" s="1"/>
  <c r="V92" i="3"/>
  <c r="X93" i="3"/>
  <c r="AE93" i="3" s="1"/>
  <c r="V93" i="3"/>
  <c r="X94" i="3"/>
  <c r="AE94" i="3" s="1"/>
  <c r="V94" i="3"/>
  <c r="X95" i="3"/>
  <c r="AE95" i="3" s="1"/>
  <c r="V95" i="3"/>
  <c r="X96" i="3"/>
  <c r="AE96" i="3" s="1"/>
  <c r="V96" i="3"/>
  <c r="X97" i="3"/>
  <c r="AE97" i="3" s="1"/>
  <c r="V97" i="3"/>
  <c r="X98" i="3"/>
  <c r="AE98" i="3" s="1"/>
  <c r="V98" i="3"/>
  <c r="X99" i="3"/>
  <c r="AE99" i="3" s="1"/>
  <c r="V99" i="3"/>
  <c r="X100" i="3"/>
  <c r="AE100" i="3" s="1"/>
  <c r="V100" i="3"/>
  <c r="X101" i="3"/>
  <c r="AE101" i="3" s="1"/>
  <c r="V101" i="3"/>
  <c r="X102" i="3"/>
  <c r="AE102" i="3" s="1"/>
  <c r="V102" i="3"/>
  <c r="X103" i="3"/>
  <c r="AE103" i="3" s="1"/>
  <c r="V103" i="3"/>
  <c r="X104" i="3"/>
  <c r="AE104" i="3" s="1"/>
  <c r="V104" i="3"/>
  <c r="X105" i="3"/>
  <c r="AE105" i="3" s="1"/>
  <c r="V105" i="3"/>
  <c r="X106" i="3"/>
  <c r="AE106" i="3" s="1"/>
  <c r="V106" i="3"/>
  <c r="X107" i="3"/>
  <c r="AE107" i="3" s="1"/>
  <c r="V107" i="3"/>
  <c r="X108" i="3"/>
  <c r="AE108" i="3" s="1"/>
  <c r="V108" i="3"/>
  <c r="X109" i="3"/>
  <c r="AE109" i="3" s="1"/>
  <c r="V109" i="3"/>
  <c r="X110" i="3"/>
  <c r="AE110" i="3" s="1"/>
  <c r="V110" i="3"/>
  <c r="X111" i="3"/>
  <c r="AE111" i="3" s="1"/>
  <c r="V111" i="3"/>
  <c r="X112" i="3"/>
  <c r="AE112" i="3" s="1"/>
  <c r="V112" i="3"/>
  <c r="X113" i="3"/>
  <c r="AE113" i="3" s="1"/>
  <c r="V113" i="3"/>
  <c r="X114" i="3"/>
  <c r="AE114" i="3" s="1"/>
  <c r="V114" i="3"/>
  <c r="X115" i="3"/>
  <c r="AE115" i="3" s="1"/>
  <c r="V115" i="3"/>
  <c r="X116" i="3"/>
  <c r="AE116" i="3" s="1"/>
  <c r="V116" i="3"/>
  <c r="X117" i="3"/>
  <c r="AE117" i="3" s="1"/>
  <c r="V117" i="3"/>
  <c r="X118" i="3"/>
  <c r="AE118" i="3" s="1"/>
  <c r="V118" i="3"/>
  <c r="X119" i="3"/>
  <c r="AE119" i="3" s="1"/>
  <c r="V119" i="3"/>
  <c r="X120" i="3"/>
  <c r="AE120" i="3" s="1"/>
  <c r="V120" i="3"/>
  <c r="X121" i="3"/>
  <c r="AE121" i="3" s="1"/>
  <c r="V121" i="3"/>
  <c r="X122" i="3"/>
  <c r="AE122" i="3" s="1"/>
  <c r="V122" i="3"/>
  <c r="X123" i="3"/>
  <c r="AE123" i="3" s="1"/>
  <c r="V123" i="3"/>
  <c r="X124" i="3"/>
  <c r="AE124" i="3" s="1"/>
  <c r="V124" i="3"/>
  <c r="X125" i="3"/>
  <c r="AE125" i="3" s="1"/>
  <c r="V125" i="3"/>
  <c r="X126" i="3"/>
  <c r="AE126" i="3" s="1"/>
  <c r="V126" i="3"/>
  <c r="X127" i="3"/>
  <c r="AE127" i="3" s="1"/>
  <c r="V127" i="3"/>
  <c r="X128" i="3"/>
  <c r="AE128" i="3" s="1"/>
  <c r="V128" i="3"/>
  <c r="X129" i="3"/>
  <c r="AE129" i="3" s="1"/>
  <c r="V129" i="3"/>
  <c r="X130" i="3"/>
  <c r="AE130" i="3" s="1"/>
  <c r="V130" i="3"/>
  <c r="X131" i="3"/>
  <c r="AE131" i="3" s="1"/>
  <c r="V131" i="3"/>
  <c r="X132" i="3"/>
  <c r="AE132" i="3" s="1"/>
  <c r="V132" i="3"/>
  <c r="X133" i="3"/>
  <c r="AE133" i="3" s="1"/>
  <c r="V133" i="3"/>
  <c r="X134" i="3"/>
  <c r="AE134" i="3" s="1"/>
  <c r="V134" i="3"/>
  <c r="X135" i="3"/>
  <c r="AE135" i="3" s="1"/>
  <c r="V135" i="3"/>
  <c r="X136" i="3"/>
  <c r="AE136" i="3" s="1"/>
  <c r="V136" i="3"/>
  <c r="X137" i="3"/>
  <c r="AE137" i="3" s="1"/>
  <c r="V137" i="3"/>
  <c r="X138" i="3"/>
  <c r="AE138" i="3" s="1"/>
  <c r="V138" i="3"/>
  <c r="X139" i="3"/>
  <c r="AE139" i="3" s="1"/>
  <c r="V139" i="3"/>
  <c r="X140" i="3"/>
  <c r="AE140" i="3" s="1"/>
  <c r="V140" i="3"/>
  <c r="X141" i="3"/>
  <c r="AE141" i="3" s="1"/>
  <c r="V141" i="3"/>
  <c r="X142" i="3"/>
  <c r="AE142" i="3" s="1"/>
  <c r="V142" i="3"/>
  <c r="X143" i="3"/>
  <c r="AE143" i="3" s="1"/>
  <c r="V143" i="3"/>
  <c r="X144" i="3"/>
  <c r="AE144" i="3" s="1"/>
  <c r="V144" i="3"/>
  <c r="X145" i="3"/>
  <c r="AE145" i="3" s="1"/>
  <c r="V145" i="3"/>
  <c r="X146" i="3"/>
  <c r="AE146" i="3" s="1"/>
  <c r="V146" i="3"/>
  <c r="X147" i="3"/>
  <c r="AE147" i="3" s="1"/>
  <c r="V147" i="3"/>
  <c r="X148" i="3"/>
  <c r="AE148" i="3" s="1"/>
  <c r="V148" i="3"/>
  <c r="X149" i="3"/>
  <c r="AE149" i="3" s="1"/>
  <c r="V149" i="3"/>
  <c r="X150" i="3"/>
  <c r="AE150" i="3" s="1"/>
  <c r="V150" i="3"/>
  <c r="X151" i="3"/>
  <c r="AE151" i="3" s="1"/>
  <c r="V151" i="3"/>
  <c r="W10" i="3"/>
  <c r="V18" i="3"/>
  <c r="CK17" i="4" s="1"/>
  <c r="CK21" i="4" s="1"/>
  <c r="X18" i="3"/>
  <c r="AE18" i="3" s="1"/>
  <c r="V19" i="3"/>
  <c r="X19" i="3"/>
  <c r="AE19" i="3" s="1"/>
  <c r="V20" i="3"/>
  <c r="V21" i="3"/>
  <c r="BW18" i="4" s="1"/>
  <c r="X21" i="3"/>
  <c r="AE21" i="3" s="1"/>
  <c r="V22" i="3"/>
  <c r="X22" i="3"/>
  <c r="AE22" i="3" s="1"/>
  <c r="V23" i="3"/>
  <c r="V24" i="3"/>
  <c r="BU13" i="4" s="1"/>
  <c r="V25" i="3"/>
  <c r="CC18" i="4" s="1"/>
  <c r="CC21" i="4" s="1"/>
  <c r="X25" i="3"/>
  <c r="AE25" i="3" s="1"/>
  <c r="H26" i="3"/>
  <c r="V26" i="3"/>
  <c r="BW19" i="4" s="1"/>
  <c r="X26" i="3"/>
  <c r="AE26" i="3" s="1"/>
  <c r="H27" i="3"/>
  <c r="W27" i="3"/>
  <c r="AD27" i="3" s="1"/>
  <c r="V28" i="3"/>
  <c r="CJ17" i="4" s="1"/>
  <c r="CJ21" i="4" s="1"/>
  <c r="X28" i="3"/>
  <c r="AE28" i="3" s="1"/>
  <c r="H29" i="3"/>
  <c r="W29" i="3"/>
  <c r="Y29" i="3"/>
  <c r="AF29" i="3" s="1"/>
  <c r="V30" i="3"/>
  <c r="H31" i="3"/>
  <c r="V31" i="3"/>
  <c r="CF17" i="4" s="1"/>
  <c r="CF21" i="4" s="1"/>
  <c r="X31" i="3"/>
  <c r="H32" i="3"/>
  <c r="W32" i="3"/>
  <c r="V33" i="3"/>
  <c r="BU17" i="4" s="1"/>
  <c r="X33" i="3"/>
  <c r="AE33" i="3" s="1"/>
  <c r="H34" i="3"/>
  <c r="W34" i="3"/>
  <c r="AD34" i="3" s="1"/>
  <c r="W35" i="3"/>
  <c r="AD35" i="3" s="1"/>
  <c r="V36" i="3"/>
  <c r="BV7" i="4" s="1"/>
  <c r="X36" i="3"/>
  <c r="AE36" i="3" s="1"/>
  <c r="H37" i="3"/>
  <c r="W37" i="3"/>
  <c r="V38" i="3"/>
  <c r="CI17" i="4" s="1"/>
  <c r="X38" i="3"/>
  <c r="H39" i="3"/>
  <c r="V39" i="3"/>
  <c r="H40" i="3"/>
  <c r="W40" i="3"/>
  <c r="AD40" i="3" s="1"/>
  <c r="V41" i="3"/>
  <c r="BV13" i="4" s="1"/>
  <c r="H42" i="3"/>
  <c r="W42" i="3"/>
  <c r="AD42" i="3" s="1"/>
  <c r="Y42" i="3"/>
  <c r="AF42" i="3" s="1"/>
  <c r="W43" i="3"/>
  <c r="AD43" i="3" s="1"/>
  <c r="V44" i="3"/>
  <c r="X44" i="3"/>
  <c r="H45" i="3"/>
  <c r="W45" i="3"/>
  <c r="Y45" i="3"/>
  <c r="AF45" i="3" s="1"/>
  <c r="V46" i="3"/>
  <c r="X46" i="3"/>
  <c r="H47" i="3"/>
  <c r="V47" i="3"/>
  <c r="X47" i="3"/>
  <c r="AE47" i="3" s="1"/>
  <c r="H48" i="3"/>
  <c r="W48" i="3"/>
  <c r="V49" i="3"/>
  <c r="X49" i="3"/>
  <c r="AE49" i="3" s="1"/>
  <c r="H50" i="3"/>
  <c r="W50" i="3"/>
  <c r="Y50" i="3"/>
  <c r="AF50" i="3" s="1"/>
  <c r="W51" i="3"/>
  <c r="V52" i="3"/>
  <c r="X52" i="3"/>
  <c r="AE52" i="3" s="1"/>
  <c r="H53" i="3"/>
  <c r="W53" i="3"/>
  <c r="V54" i="3"/>
  <c r="H55" i="3"/>
  <c r="V55" i="3"/>
  <c r="BY11" i="4" s="1"/>
  <c r="BY15" i="4" s="1"/>
  <c r="H56" i="3"/>
  <c r="AE56" i="3" s="1"/>
  <c r="W56" i="3"/>
  <c r="AD56" i="3" s="1"/>
  <c r="V57" i="3"/>
  <c r="CH17" i="4" s="1"/>
  <c r="X57" i="3"/>
  <c r="H58" i="3"/>
  <c r="AF58" i="3" s="1"/>
  <c r="W58" i="3"/>
  <c r="AD58" i="3" s="1"/>
  <c r="W59" i="3"/>
  <c r="V60" i="3"/>
  <c r="CG11" i="4" s="1"/>
  <c r="CG15" i="4" s="1"/>
  <c r="H61" i="3"/>
  <c r="W61" i="3"/>
  <c r="V62" i="3"/>
  <c r="X62" i="3"/>
  <c r="AE62" i="3" s="1"/>
  <c r="H63" i="3"/>
  <c r="V63" i="3"/>
  <c r="H64" i="3"/>
  <c r="W64" i="3"/>
  <c r="Y64" i="3"/>
  <c r="AF64" i="3" s="1"/>
  <c r="V65" i="3"/>
  <c r="H66" i="3"/>
  <c r="W66" i="3"/>
  <c r="W67" i="3"/>
  <c r="AD67" i="3" s="1"/>
  <c r="W68" i="3"/>
  <c r="AD68" i="3" s="1"/>
  <c r="W69" i="3"/>
  <c r="AD69" i="3" s="1"/>
  <c r="W70" i="3"/>
  <c r="AD70" i="3" s="1"/>
  <c r="W71" i="3"/>
  <c r="AD71" i="3" s="1"/>
  <c r="W72" i="3"/>
  <c r="AD72" i="3" s="1"/>
  <c r="W73" i="3"/>
  <c r="AD73" i="3" s="1"/>
  <c r="W74" i="3"/>
  <c r="AD74" i="3" s="1"/>
  <c r="W75" i="3"/>
  <c r="AD75" i="3" s="1"/>
  <c r="W76" i="3"/>
  <c r="AD76" i="3" s="1"/>
  <c r="W77" i="3"/>
  <c r="AD77" i="3" s="1"/>
  <c r="W78" i="3"/>
  <c r="AD78" i="3" s="1"/>
  <c r="W79" i="3"/>
  <c r="AD79" i="3" s="1"/>
  <c r="W80" i="3"/>
  <c r="AD80" i="3" s="1"/>
  <c r="W81" i="3"/>
  <c r="AD81" i="3" s="1"/>
  <c r="W82" i="3"/>
  <c r="AD82" i="3" s="1"/>
  <c r="W83" i="3"/>
  <c r="AD83" i="3" s="1"/>
  <c r="W84" i="3"/>
  <c r="AD84" i="3" s="1"/>
  <c r="W85" i="3"/>
  <c r="AD85" i="3" s="1"/>
  <c r="W86" i="3"/>
  <c r="AD86" i="3" s="1"/>
  <c r="W87" i="3"/>
  <c r="AD87" i="3" s="1"/>
  <c r="Y88" i="3"/>
  <c r="AF88" i="3" s="1"/>
  <c r="Y89" i="3"/>
  <c r="AF89" i="3" s="1"/>
  <c r="Y90" i="3"/>
  <c r="AF90" i="3" s="1"/>
  <c r="Y91" i="3"/>
  <c r="AF91" i="3" s="1"/>
  <c r="Y92" i="3"/>
  <c r="AF92" i="3" s="1"/>
  <c r="Y93" i="3"/>
  <c r="AF93" i="3" s="1"/>
  <c r="Y94" i="3"/>
  <c r="AF94" i="3" s="1"/>
  <c r="Y95" i="3"/>
  <c r="AF95" i="3" s="1"/>
  <c r="Y96" i="3"/>
  <c r="AF96" i="3" s="1"/>
  <c r="Y97" i="3"/>
  <c r="AF97" i="3" s="1"/>
  <c r="Y98" i="3"/>
  <c r="AF98" i="3" s="1"/>
  <c r="Y99" i="3"/>
  <c r="AF99" i="3" s="1"/>
  <c r="Y100" i="3"/>
  <c r="AF100" i="3" s="1"/>
  <c r="Y101" i="3"/>
  <c r="AF101" i="3" s="1"/>
  <c r="Y102" i="3"/>
  <c r="AF102" i="3" s="1"/>
  <c r="Y103" i="3"/>
  <c r="AF103" i="3" s="1"/>
  <c r="Y104" i="3"/>
  <c r="AF104" i="3" s="1"/>
  <c r="Y105" i="3"/>
  <c r="AF105" i="3" s="1"/>
  <c r="Y106" i="3"/>
  <c r="AF106" i="3" s="1"/>
  <c r="Y107" i="3"/>
  <c r="AF107" i="3" s="1"/>
  <c r="Y108" i="3"/>
  <c r="AF108" i="3" s="1"/>
  <c r="Y109" i="3"/>
  <c r="AF109" i="3" s="1"/>
  <c r="Y110" i="3"/>
  <c r="AF110" i="3" s="1"/>
  <c r="Y111" i="3"/>
  <c r="AF111" i="3" s="1"/>
  <c r="Y112" i="3"/>
  <c r="AF112" i="3" s="1"/>
  <c r="Y113" i="3"/>
  <c r="AF113" i="3" s="1"/>
  <c r="Y114" i="3"/>
  <c r="AF114" i="3" s="1"/>
  <c r="Y115" i="3"/>
  <c r="AF115" i="3" s="1"/>
  <c r="Y116" i="3"/>
  <c r="AF116" i="3" s="1"/>
  <c r="Y117" i="3"/>
  <c r="AF117" i="3" s="1"/>
  <c r="Y118" i="3"/>
  <c r="AF118" i="3" s="1"/>
  <c r="Y119" i="3"/>
  <c r="AF119" i="3" s="1"/>
  <c r="Y120" i="3"/>
  <c r="AF120" i="3" s="1"/>
  <c r="Y121" i="3"/>
  <c r="AF121" i="3" s="1"/>
  <c r="Y122" i="3"/>
  <c r="AF122" i="3" s="1"/>
  <c r="Y123" i="3"/>
  <c r="AF123" i="3" s="1"/>
  <c r="Y124" i="3"/>
  <c r="AF124" i="3" s="1"/>
  <c r="Y125" i="3"/>
  <c r="AF125" i="3" s="1"/>
  <c r="Y126" i="3"/>
  <c r="AF126" i="3" s="1"/>
  <c r="Y127" i="3"/>
  <c r="AF127" i="3" s="1"/>
  <c r="Y128" i="3"/>
  <c r="AF128" i="3" s="1"/>
  <c r="Y129" i="3"/>
  <c r="AF129" i="3" s="1"/>
  <c r="Y130" i="3"/>
  <c r="AF130" i="3" s="1"/>
  <c r="Y131" i="3"/>
  <c r="AF131" i="3" s="1"/>
  <c r="Y132" i="3"/>
  <c r="AF132" i="3" s="1"/>
  <c r="Y133" i="3"/>
  <c r="AF133" i="3" s="1"/>
  <c r="Y134" i="3"/>
  <c r="AF134" i="3" s="1"/>
  <c r="Y135" i="3"/>
  <c r="AF135" i="3" s="1"/>
  <c r="Y136" i="3"/>
  <c r="AF136" i="3" s="1"/>
  <c r="Y137" i="3"/>
  <c r="AF137" i="3" s="1"/>
  <c r="Y138" i="3"/>
  <c r="AF138" i="3" s="1"/>
  <c r="Y139" i="3"/>
  <c r="AF139" i="3" s="1"/>
  <c r="Y140" i="3"/>
  <c r="AF140" i="3" s="1"/>
  <c r="Y141" i="3"/>
  <c r="AF141" i="3" s="1"/>
  <c r="Y142" i="3"/>
  <c r="AF142" i="3" s="1"/>
  <c r="Y143" i="3"/>
  <c r="AF143" i="3" s="1"/>
  <c r="Y144" i="3"/>
  <c r="AF144" i="3" s="1"/>
  <c r="Y145" i="3"/>
  <c r="AF145" i="3" s="1"/>
  <c r="Y146" i="3"/>
  <c r="AF146" i="3" s="1"/>
  <c r="Y147" i="3"/>
  <c r="AF147" i="3" s="1"/>
  <c r="Y148" i="3"/>
  <c r="AF148" i="3" s="1"/>
  <c r="Y149" i="3"/>
  <c r="AF149" i="3" s="1"/>
  <c r="Y150" i="3"/>
  <c r="AF150" i="3" s="1"/>
  <c r="Y151" i="3"/>
  <c r="AF151" i="3" s="1"/>
  <c r="W152" i="3"/>
  <c r="AD152" i="3" s="1"/>
  <c r="AC5" i="3" l="1"/>
  <c r="AC7" i="3"/>
  <c r="F14" i="2"/>
  <c r="F39" i="2" s="1"/>
  <c r="AC12" i="3"/>
  <c r="AC23" i="3"/>
  <c r="AG76" i="3"/>
  <c r="AG80" i="3"/>
  <c r="AG89" i="3"/>
  <c r="AG101" i="3"/>
  <c r="BU9" i="4"/>
  <c r="BW9" i="4"/>
  <c r="AG125" i="3"/>
  <c r="AG151" i="3"/>
  <c r="AG150" i="3"/>
  <c r="AE38" i="3"/>
  <c r="AD16" i="3"/>
  <c r="AD15" i="3"/>
  <c r="AG97" i="3"/>
  <c r="AF28" i="3"/>
  <c r="AC3" i="3"/>
  <c r="AD59" i="3"/>
  <c r="AD14" i="3"/>
  <c r="AF18" i="3"/>
  <c r="AD9" i="3"/>
  <c r="AD8" i="3"/>
  <c r="AG73" i="3"/>
  <c r="AD11" i="3"/>
  <c r="AG95" i="3"/>
  <c r="AG99" i="3"/>
  <c r="AG111" i="3"/>
  <c r="AG115" i="3"/>
  <c r="AG127" i="3"/>
  <c r="AG131" i="3"/>
  <c r="AG143" i="3"/>
  <c r="AG147" i="3"/>
  <c r="AG133" i="3"/>
  <c r="AG85" i="3"/>
  <c r="AD5" i="3"/>
  <c r="AD10" i="3"/>
  <c r="AF65" i="3"/>
  <c r="AD7" i="3"/>
  <c r="AG93" i="3"/>
  <c r="AG117" i="3"/>
  <c r="AF30" i="3"/>
  <c r="AD25" i="3"/>
  <c r="AD22" i="3"/>
  <c r="AG105" i="3"/>
  <c r="AG113" i="3"/>
  <c r="AG121" i="3"/>
  <c r="AG129" i="3"/>
  <c r="AG137" i="3"/>
  <c r="AG145" i="3"/>
  <c r="AG149" i="3"/>
  <c r="AG84" i="3"/>
  <c r="AG141" i="3"/>
  <c r="E10" i="5"/>
  <c r="F3" i="5"/>
  <c r="F2" i="5" s="1"/>
  <c r="E7" i="5"/>
  <c r="E21" i="5"/>
  <c r="E9" i="5"/>
  <c r="E22" i="5"/>
  <c r="E24" i="5"/>
  <c r="B34" i="5"/>
  <c r="M9" i="3"/>
  <c r="C31" i="5"/>
  <c r="B29" i="5"/>
  <c r="D76" i="2"/>
  <c r="D81" i="2" s="1"/>
  <c r="D33" i="2"/>
  <c r="AE46" i="3"/>
  <c r="AC94" i="3"/>
  <c r="AG94" i="3" s="1"/>
  <c r="AC134" i="3"/>
  <c r="AG134" i="3" s="1"/>
  <c r="AC142" i="3"/>
  <c r="AG142" i="3" s="1"/>
  <c r="AD51" i="3"/>
  <c r="AE31" i="3"/>
  <c r="AC88" i="3"/>
  <c r="AG88" i="3" s="1"/>
  <c r="AC72" i="3"/>
  <c r="AG72" i="3" s="1"/>
  <c r="AD24" i="3"/>
  <c r="AD23" i="3"/>
  <c r="AD20" i="3"/>
  <c r="AB1" i="3"/>
  <c r="M24" i="3" s="1"/>
  <c r="F20" i="2" s="1"/>
  <c r="AE3" i="3"/>
  <c r="M14" i="3"/>
  <c r="AF3" i="3"/>
  <c r="M15" i="3"/>
  <c r="AC91" i="3"/>
  <c r="AG91" i="3" s="1"/>
  <c r="AC103" i="3"/>
  <c r="AG103" i="3" s="1"/>
  <c r="AC107" i="3"/>
  <c r="AG107" i="3" s="1"/>
  <c r="AC119" i="3"/>
  <c r="AG119" i="3" s="1"/>
  <c r="AC123" i="3"/>
  <c r="AG123" i="3" s="1"/>
  <c r="AC135" i="3"/>
  <c r="AG135" i="3" s="1"/>
  <c r="AC139" i="3"/>
  <c r="AG139" i="3" s="1"/>
  <c r="D10" i="2"/>
  <c r="F35" i="2"/>
  <c r="F57" i="2" s="1"/>
  <c r="F46" i="2"/>
  <c r="F34" i="2"/>
  <c r="F54" i="2"/>
  <c r="AC102" i="3"/>
  <c r="AG102" i="3" s="1"/>
  <c r="AC110" i="3"/>
  <c r="AG110" i="3" s="1"/>
  <c r="AC118" i="3"/>
  <c r="AG118" i="3" s="1"/>
  <c r="AC126" i="3"/>
  <c r="AG126" i="3" s="1"/>
  <c r="AE57" i="3"/>
  <c r="AC87" i="3"/>
  <c r="AG87" i="3" s="1"/>
  <c r="AD12" i="3"/>
  <c r="AD3" i="3"/>
  <c r="M13" i="3"/>
  <c r="AC92" i="3"/>
  <c r="AG92" i="3" s="1"/>
  <c r="AC100" i="3"/>
  <c r="AG100" i="3" s="1"/>
  <c r="AC108" i="3"/>
  <c r="AG108" i="3" s="1"/>
  <c r="AC116" i="3"/>
  <c r="AG116" i="3" s="1"/>
  <c r="AC124" i="3"/>
  <c r="AG124" i="3" s="1"/>
  <c r="AC132" i="3"/>
  <c r="AG132" i="3" s="1"/>
  <c r="AC140" i="3"/>
  <c r="AG140" i="3" s="1"/>
  <c r="AC148" i="3"/>
  <c r="AG148" i="3" s="1"/>
  <c r="AC152" i="3"/>
  <c r="AG152" i="3" s="1"/>
  <c r="S1" i="3"/>
  <c r="M30" i="3" s="1"/>
  <c r="F24" i="2" s="1"/>
  <c r="BW21" i="4"/>
  <c r="CJ25" i="4"/>
  <c r="CJ29" i="4" s="1"/>
  <c r="Z1" i="3"/>
  <c r="M22" i="3" s="1"/>
  <c r="F18" i="2" s="1"/>
  <c r="BU25" i="4"/>
  <c r="R1" i="3"/>
  <c r="AD66" i="3"/>
  <c r="AD64" i="3"/>
  <c r="AD61" i="3"/>
  <c r="AD37" i="3"/>
  <c r="AD29" i="3"/>
  <c r="AD54" i="3"/>
  <c r="AD47" i="3"/>
  <c r="AD41" i="3"/>
  <c r="AD39" i="3"/>
  <c r="AE43" i="3"/>
  <c r="AE35" i="3"/>
  <c r="CI21" i="4"/>
  <c r="CI25" i="4"/>
  <c r="CI29" i="4" s="1"/>
  <c r="CH21" i="4"/>
  <c r="CH25" i="4"/>
  <c r="CH29" i="4" s="1"/>
  <c r="CB26" i="4"/>
  <c r="CB29" i="4" s="1"/>
  <c r="CB15" i="4"/>
  <c r="BV12" i="4"/>
  <c r="CK11" i="4"/>
  <c r="AD53" i="3"/>
  <c r="AD50" i="3"/>
  <c r="AD48" i="3"/>
  <c r="AD45" i="3"/>
  <c r="AE44" i="3"/>
  <c r="BV27" i="4"/>
  <c r="AD32" i="3"/>
  <c r="AC86" i="3"/>
  <c r="AG86" i="3" s="1"/>
  <c r="AC82" i="3"/>
  <c r="AG82" i="3" s="1"/>
  <c r="AC78" i="3"/>
  <c r="AG78" i="3" s="1"/>
  <c r="AC74" i="3"/>
  <c r="AG74" i="3" s="1"/>
  <c r="AC70" i="3"/>
  <c r="AG70" i="3" s="1"/>
  <c r="AD63" i="3"/>
  <c r="AD62" i="3"/>
  <c r="AD55" i="3"/>
  <c r="AD52" i="3"/>
  <c r="AD49" i="3"/>
  <c r="AD36" i="3"/>
  <c r="AD33" i="3"/>
  <c r="AD26" i="3"/>
  <c r="AD21" i="3"/>
  <c r="AA1" i="3"/>
  <c r="M23" i="3" s="1"/>
  <c r="F19" i="2" s="1"/>
  <c r="F55" i="2" s="1"/>
  <c r="AD19" i="3"/>
  <c r="AD17" i="3"/>
  <c r="AD13" i="3"/>
  <c r="AD4" i="3"/>
  <c r="Q1" i="3"/>
  <c r="M17" i="3" s="1"/>
  <c r="F11" i="2" s="1"/>
  <c r="F47" i="2" s="1"/>
  <c r="BV9" i="4"/>
  <c r="BT9" i="4" s="1"/>
  <c r="CG25" i="4"/>
  <c r="CG29" i="4" s="1"/>
  <c r="BY25" i="4"/>
  <c r="BY29" i="4" s="1"/>
  <c r="AE6" i="3"/>
  <c r="CF25" i="4"/>
  <c r="CF29" i="4" s="1"/>
  <c r="AE42" i="3"/>
  <c r="AE27" i="3"/>
  <c r="BW27" i="4"/>
  <c r="BU12" i="4"/>
  <c r="AC11" i="3"/>
  <c r="AF68" i="3"/>
  <c r="CC26" i="4"/>
  <c r="CC29" i="4" s="1"/>
  <c r="CD17" i="4"/>
  <c r="BU20" i="4"/>
  <c r="BU28" i="4" s="1"/>
  <c r="BW12" i="4"/>
  <c r="BW15" i="4" s="1"/>
  <c r="AE67" i="3"/>
  <c r="AE40" i="3"/>
  <c r="AE34" i="3"/>
  <c r="BV20" i="4"/>
  <c r="BV21" i="4" s="1"/>
  <c r="BU27" i="4"/>
  <c r="CE17" i="4"/>
  <c r="C15" i="4"/>
  <c r="V29" i="4"/>
  <c r="P29" i="4"/>
  <c r="J29" i="4"/>
  <c r="F29" i="4"/>
  <c r="C9" i="4"/>
  <c r="U29" i="4"/>
  <c r="S29" i="4"/>
  <c r="Q29" i="4"/>
  <c r="O29" i="4"/>
  <c r="M29" i="4"/>
  <c r="K29" i="4"/>
  <c r="I29" i="4"/>
  <c r="G29" i="4"/>
  <c r="E29" i="4"/>
  <c r="N29" i="4"/>
  <c r="T29" i="4"/>
  <c r="L29" i="4"/>
  <c r="H29" i="4"/>
  <c r="D29" i="4"/>
  <c r="R29" i="4"/>
  <c r="AC9" i="3"/>
  <c r="AC15" i="3"/>
  <c r="AC22" i="3"/>
  <c r="X1" i="3"/>
  <c r="M20" i="3" s="1"/>
  <c r="Y1" i="3"/>
  <c r="M21" i="3" s="1"/>
  <c r="AC66" i="3"/>
  <c r="AC64" i="3"/>
  <c r="AC63" i="3"/>
  <c r="AC61" i="3"/>
  <c r="B11" i="5" s="1"/>
  <c r="AC58" i="3"/>
  <c r="AC56" i="3"/>
  <c r="AC55" i="3"/>
  <c r="B8" i="5" s="1"/>
  <c r="AC47" i="3"/>
  <c r="AC40" i="3"/>
  <c r="AC39" i="3"/>
  <c r="AC37" i="3"/>
  <c r="AC31" i="3"/>
  <c r="AC29" i="3"/>
  <c r="AC27" i="3"/>
  <c r="AC68" i="3"/>
  <c r="AC59" i="3"/>
  <c r="AC54" i="3"/>
  <c r="AC51" i="3"/>
  <c r="AC46" i="3"/>
  <c r="AC43" i="3"/>
  <c r="AC41" i="3"/>
  <c r="AC38" i="3"/>
  <c r="B18" i="5" s="1"/>
  <c r="AC35" i="3"/>
  <c r="AC53" i="3"/>
  <c r="AC50" i="3"/>
  <c r="B12" i="5" s="1"/>
  <c r="AC48" i="3"/>
  <c r="AC45" i="3"/>
  <c r="AC42" i="3"/>
  <c r="AC34" i="3"/>
  <c r="AC32" i="3"/>
  <c r="AC26" i="3"/>
  <c r="AC67" i="3"/>
  <c r="AC65" i="3"/>
  <c r="AC62" i="3"/>
  <c r="AC60" i="3"/>
  <c r="AC57" i="3"/>
  <c r="B17" i="5" s="1"/>
  <c r="AC52" i="3"/>
  <c r="AC49" i="3"/>
  <c r="AC44" i="3"/>
  <c r="AC36" i="3"/>
  <c r="AC33" i="3"/>
  <c r="M6" i="3"/>
  <c r="AC4" i="3"/>
  <c r="H1" i="3"/>
  <c r="T19" i="3" s="1"/>
  <c r="AC8" i="3"/>
  <c r="AC13" i="3"/>
  <c r="AC19" i="3"/>
  <c r="V1" i="3"/>
  <c r="M32" i="3" s="1"/>
  <c r="F23" i="2" s="1"/>
  <c r="W1" i="3"/>
  <c r="M19" i="3" s="1"/>
  <c r="F58" i="2" l="1"/>
  <c r="AF1" i="3"/>
  <c r="M28" i="3" s="1"/>
  <c r="B6" i="5"/>
  <c r="B4" i="5"/>
  <c r="B13" i="5"/>
  <c r="B5" i="5"/>
  <c r="B20" i="5"/>
  <c r="F22" i="5"/>
  <c r="F24" i="5"/>
  <c r="F9" i="5"/>
  <c r="G3" i="5"/>
  <c r="F10" i="5"/>
  <c r="F21" i="5"/>
  <c r="F7" i="5"/>
  <c r="B16" i="5"/>
  <c r="B14" i="5"/>
  <c r="B15" i="5"/>
  <c r="BU26" i="4"/>
  <c r="BU29" i="4" s="1"/>
  <c r="BU15" i="4"/>
  <c r="AD1" i="3"/>
  <c r="M26" i="3" s="1"/>
  <c r="F67" i="2" s="1"/>
  <c r="M18" i="3"/>
  <c r="F12" i="2" s="1"/>
  <c r="M7" i="3"/>
  <c r="D35" i="2"/>
  <c r="D57" i="2" s="1"/>
  <c r="D46" i="2"/>
  <c r="D34" i="2"/>
  <c r="D23" i="2"/>
  <c r="D79" i="2" s="1"/>
  <c r="D80" i="2" s="1"/>
  <c r="F79" i="2"/>
  <c r="F80" i="2" s="1"/>
  <c r="F69" i="2"/>
  <c r="F17" i="2"/>
  <c r="F45" i="2"/>
  <c r="D20" i="2"/>
  <c r="G20" i="2"/>
  <c r="F16" i="2"/>
  <c r="D11" i="2"/>
  <c r="D47" i="2" s="1"/>
  <c r="F36" i="2"/>
  <c r="G12" i="2"/>
  <c r="D18" i="2"/>
  <c r="D54" i="2" s="1"/>
  <c r="F43" i="2"/>
  <c r="G18" i="2"/>
  <c r="D24" i="2"/>
  <c r="D63" i="2" s="1"/>
  <c r="F63" i="2"/>
  <c r="F56" i="2"/>
  <c r="F60" i="2"/>
  <c r="F13" i="2"/>
  <c r="D19" i="2"/>
  <c r="F44" i="2"/>
  <c r="G19" i="2"/>
  <c r="F59" i="2"/>
  <c r="AE1" i="3"/>
  <c r="M27" i="3" s="1"/>
  <c r="F68" i="2" s="1"/>
  <c r="CK15" i="4"/>
  <c r="CK25" i="4"/>
  <c r="CK29" i="4" s="1"/>
  <c r="BV26" i="4"/>
  <c r="BV15" i="4"/>
  <c r="BW26" i="4"/>
  <c r="BW29" i="4" s="1"/>
  <c r="CE21" i="4"/>
  <c r="CE25" i="4"/>
  <c r="CE29" i="4" s="1"/>
  <c r="CD21" i="4"/>
  <c r="CD25" i="4"/>
  <c r="CD29" i="4" s="1"/>
  <c r="BV28" i="4"/>
  <c r="BU21" i="4"/>
  <c r="AC1" i="3"/>
  <c r="C29" i="4"/>
  <c r="T11" i="3"/>
  <c r="M5" i="3"/>
  <c r="M25" i="3" s="1"/>
  <c r="F21" i="2" s="1"/>
  <c r="T16" i="3"/>
  <c r="T18" i="3"/>
  <c r="T24" i="3"/>
  <c r="T30" i="3"/>
  <c r="T5" i="3"/>
  <c r="T12" i="3"/>
  <c r="T23" i="3"/>
  <c r="T14" i="3"/>
  <c r="T17" i="3"/>
  <c r="T21" i="3"/>
  <c r="T28" i="3"/>
  <c r="T3" i="3"/>
  <c r="T7" i="3"/>
  <c r="T20" i="3"/>
  <c r="T25" i="3"/>
  <c r="T6" i="3"/>
  <c r="T10" i="3"/>
  <c r="T33" i="3"/>
  <c r="T36" i="3"/>
  <c r="T44" i="3"/>
  <c r="T49" i="3"/>
  <c r="T52" i="3"/>
  <c r="T57" i="3"/>
  <c r="T60" i="3"/>
  <c r="T62" i="3"/>
  <c r="T65" i="3"/>
  <c r="T26" i="3"/>
  <c r="T38" i="3"/>
  <c r="T41" i="3"/>
  <c r="T46" i="3"/>
  <c r="T54" i="3"/>
  <c r="T31" i="3"/>
  <c r="T39" i="3"/>
  <c r="T47" i="3"/>
  <c r="T55" i="3"/>
  <c r="T63" i="3"/>
  <c r="T22" i="3"/>
  <c r="T15" i="3"/>
  <c r="T9" i="3"/>
  <c r="T13" i="3"/>
  <c r="T8" i="3"/>
  <c r="T4" i="3"/>
  <c r="T67" i="3"/>
  <c r="T32" i="3"/>
  <c r="T34" i="3"/>
  <c r="T42" i="3"/>
  <c r="T45" i="3"/>
  <c r="T48" i="3"/>
  <c r="T50" i="3"/>
  <c r="T53" i="3"/>
  <c r="T35" i="3"/>
  <c r="T43" i="3"/>
  <c r="T51" i="3"/>
  <c r="T59" i="3"/>
  <c r="T68" i="3"/>
  <c r="T27" i="3"/>
  <c r="T29" i="3"/>
  <c r="T37" i="3"/>
  <c r="T40" i="3"/>
  <c r="T56" i="3"/>
  <c r="T58" i="3"/>
  <c r="T61" i="3"/>
  <c r="T64" i="3"/>
  <c r="T66" i="3"/>
  <c r="F50" i="2" l="1"/>
  <c r="BT15" i="4"/>
  <c r="F15" i="2"/>
  <c r="F40" i="2" s="1"/>
  <c r="B23" i="5"/>
  <c r="G22" i="5"/>
  <c r="G9" i="5"/>
  <c r="G7" i="5"/>
  <c r="G2" i="5"/>
  <c r="G21" i="5"/>
  <c r="G24" i="5"/>
  <c r="G10" i="5"/>
  <c r="H3" i="5"/>
  <c r="F37" i="2"/>
  <c r="D12" i="2"/>
  <c r="F48" i="2"/>
  <c r="G11" i="2"/>
  <c r="D21" i="2"/>
  <c r="F71" i="2"/>
  <c r="F72" i="2" s="1"/>
  <c r="F65" i="2"/>
  <c r="F66" i="2"/>
  <c r="D16" i="2"/>
  <c r="F41" i="2"/>
  <c r="G16" i="2"/>
  <c r="F52" i="2"/>
  <c r="D17" i="2"/>
  <c r="F42" i="2"/>
  <c r="G17" i="2"/>
  <c r="F53" i="2"/>
  <c r="D44" i="2"/>
  <c r="E19" i="2"/>
  <c r="AB20" i="4"/>
  <c r="AD18" i="4"/>
  <c r="AG17" i="4"/>
  <c r="AI13" i="4"/>
  <c r="AB12" i="4"/>
  <c r="AE11" i="4"/>
  <c r="AG7" i="4"/>
  <c r="AS5" i="4"/>
  <c r="AC5" i="4"/>
  <c r="AE19" i="4"/>
  <c r="AQ17" i="4"/>
  <c r="AQ21" i="4" s="1"/>
  <c r="AA17" i="4"/>
  <c r="AC13" i="4"/>
  <c r="AO11" i="4"/>
  <c r="AO15" i="4" s="1"/>
  <c r="AH8" i="4"/>
  <c r="AA7" i="4"/>
  <c r="AM5" i="4"/>
  <c r="Y30" i="4"/>
  <c r="AE14" i="4"/>
  <c r="AP11" i="4"/>
  <c r="AP15" i="4" s="1"/>
  <c r="AI6" i="4"/>
  <c r="AE20" i="4"/>
  <c r="AP17" i="4"/>
  <c r="AP21" i="4" s="1"/>
  <c r="AI12" i="4"/>
  <c r="AC8" i="4"/>
  <c r="AN5" i="4"/>
  <c r="AI18" i="4"/>
  <c r="AC14" i="4"/>
  <c r="AN11" i="4"/>
  <c r="AN15" i="4" s="1"/>
  <c r="AG6" i="4"/>
  <c r="AH19" i="4"/>
  <c r="AJ17" i="4"/>
  <c r="AJ21" i="4" s="1"/>
  <c r="AC12" i="4"/>
  <c r="AF7" i="4"/>
  <c r="AH5" i="4"/>
  <c r="AG19" i="4"/>
  <c r="AS17" i="4"/>
  <c r="AS21" i="4" s="1"/>
  <c r="AC17" i="4"/>
  <c r="AE13" i="4"/>
  <c r="AQ11" i="4"/>
  <c r="AQ15" i="4" s="1"/>
  <c r="AA11" i="4"/>
  <c r="AC7" i="4"/>
  <c r="AO5" i="4"/>
  <c r="AH20" i="4"/>
  <c r="AA19" i="4"/>
  <c r="AM17" i="4"/>
  <c r="AM21" i="4" s="1"/>
  <c r="AF14" i="4"/>
  <c r="AH12" i="4"/>
  <c r="AK11" i="4"/>
  <c r="AK15" i="4" s="1"/>
  <c r="AD8" i="4"/>
  <c r="AF6" i="4"/>
  <c r="AI5" i="4"/>
  <c r="AG18" i="4"/>
  <c r="AA14" i="4"/>
  <c r="AL11" i="4"/>
  <c r="AL15" i="4" s="1"/>
  <c r="AE6" i="4"/>
  <c r="AA20" i="4"/>
  <c r="AL17" i="4"/>
  <c r="AL21" i="4" s="1"/>
  <c r="AE12" i="4"/>
  <c r="AH7" i="4"/>
  <c r="AJ5" i="4"/>
  <c r="AE18" i="4"/>
  <c r="AH13" i="4"/>
  <c r="AJ11" i="4"/>
  <c r="AJ15" i="4" s="1"/>
  <c r="AC6" i="4"/>
  <c r="AD19" i="4"/>
  <c r="AF17" i="4"/>
  <c r="AI8" i="4"/>
  <c r="AB7" i="4"/>
  <c r="AD5" i="4"/>
  <c r="AC19" i="4"/>
  <c r="AO17" i="4"/>
  <c r="AO21" i="4" s="1"/>
  <c r="AH14" i="4"/>
  <c r="AA13" i="4"/>
  <c r="AM11" i="4"/>
  <c r="AM15" i="4" s="1"/>
  <c r="AF8" i="4"/>
  <c r="AH6" i="4"/>
  <c r="AK5" i="4"/>
  <c r="AD20" i="4"/>
  <c r="AF18" i="4"/>
  <c r="AI17" i="4"/>
  <c r="AB14" i="4"/>
  <c r="AD12" i="4"/>
  <c r="AG11" i="4"/>
  <c r="AI7" i="4"/>
  <c r="AB6" i="4"/>
  <c r="AE5" i="4"/>
  <c r="AC18" i="4"/>
  <c r="AF13" i="4"/>
  <c r="AH11" i="4"/>
  <c r="AA6" i="4"/>
  <c r="AF19" i="4"/>
  <c r="AH17" i="4"/>
  <c r="AA12" i="4"/>
  <c r="AD7" i="4"/>
  <c r="AF5" i="4"/>
  <c r="AA18" i="4"/>
  <c r="AD13" i="4"/>
  <c r="AF11" i="4"/>
  <c r="AG20" i="4"/>
  <c r="AR17" i="4"/>
  <c r="AR21" i="4" s="1"/>
  <c r="AB17" i="4"/>
  <c r="AE8" i="4"/>
  <c r="AP5" i="4"/>
  <c r="AK17" i="4"/>
  <c r="AK21" i="4" s="1"/>
  <c r="AB8" i="4"/>
  <c r="AB18" i="4"/>
  <c r="AC11" i="4"/>
  <c r="AI14" i="4"/>
  <c r="AB19" i="4"/>
  <c r="AB5" i="4"/>
  <c r="AC20" i="4"/>
  <c r="AL5" i="4"/>
  <c r="AD14" i="4"/>
  <c r="AD6" i="4"/>
  <c r="AE17" i="4"/>
  <c r="AE7" i="4"/>
  <c r="AB13" i="4"/>
  <c r="AD17" i="4"/>
  <c r="AG14" i="4"/>
  <c r="AN17" i="4"/>
  <c r="AN21" i="4" s="1"/>
  <c r="AF20" i="4"/>
  <c r="AF12" i="4"/>
  <c r="AG5" i="4"/>
  <c r="AG13" i="4"/>
  <c r="AQ5" i="4"/>
  <c r="AD11" i="4"/>
  <c r="AG8" i="4"/>
  <c r="AG28" i="4" s="1"/>
  <c r="AR11" i="4"/>
  <c r="AR15" i="4" s="1"/>
  <c r="AG12" i="4"/>
  <c r="AH18" i="4"/>
  <c r="AI11" i="4"/>
  <c r="AI19" i="4"/>
  <c r="AS11" i="4"/>
  <c r="AS15" i="4" s="1"/>
  <c r="AA5" i="4"/>
  <c r="AI20" i="4"/>
  <c r="AR5" i="4"/>
  <c r="AB11" i="4"/>
  <c r="AA8" i="4"/>
  <c r="D55" i="2"/>
  <c r="D43" i="2"/>
  <c r="E18" i="2"/>
  <c r="D36" i="2"/>
  <c r="E11" i="2"/>
  <c r="E12" i="2"/>
  <c r="D45" i="2"/>
  <c r="E20" i="2"/>
  <c r="D56" i="2"/>
  <c r="D13" i="2"/>
  <c r="F38" i="2"/>
  <c r="G13" i="2"/>
  <c r="F49" i="2"/>
  <c r="BT21" i="4"/>
  <c r="BV29" i="4"/>
  <c r="BT29" i="4" s="1"/>
  <c r="AW29" i="4" s="1"/>
  <c r="T1" i="3"/>
  <c r="D51" i="2" l="1"/>
  <c r="D50" i="2"/>
  <c r="F51" i="2"/>
  <c r="AC26" i="4"/>
  <c r="AC28" i="4"/>
  <c r="AH21" i="4"/>
  <c r="AI26" i="4"/>
  <c r="AB15" i="4"/>
  <c r="AB28" i="4"/>
  <c r="AG15" i="4"/>
  <c r="AH15" i="4"/>
  <c r="AB26" i="4"/>
  <c r="AC27" i="4"/>
  <c r="AC21" i="4"/>
  <c r="AF27" i="4"/>
  <c r="AE15" i="4"/>
  <c r="H21" i="5"/>
  <c r="H24" i="5"/>
  <c r="H22" i="5"/>
  <c r="H9" i="5"/>
  <c r="H10" i="5"/>
  <c r="I3" i="5"/>
  <c r="H7" i="5"/>
  <c r="H2" i="5"/>
  <c r="M31" i="3"/>
  <c r="F64" i="2"/>
  <c r="AQ9" i="4"/>
  <c r="AQ25" i="4"/>
  <c r="AQ29" i="4" s="1"/>
  <c r="AB21" i="4"/>
  <c r="AK9" i="4"/>
  <c r="AK25" i="4"/>
  <c r="AK29" i="4" s="1"/>
  <c r="AD9" i="4"/>
  <c r="AD25" i="4"/>
  <c r="AG26" i="4"/>
  <c r="AL9" i="4"/>
  <c r="AL25" i="4"/>
  <c r="AL29" i="4" s="1"/>
  <c r="AI27" i="4"/>
  <c r="AI21" i="4"/>
  <c r="AB27" i="4"/>
  <c r="AJ9" i="4"/>
  <c r="AJ25" i="4"/>
  <c r="AJ29" i="4" s="1"/>
  <c r="AA15" i="4"/>
  <c r="AM9" i="4"/>
  <c r="AM25" i="4"/>
  <c r="AM29" i="4" s="1"/>
  <c r="AC25" i="4"/>
  <c r="AC9" i="4"/>
  <c r="AI15" i="4"/>
  <c r="AG25" i="4"/>
  <c r="AG9" i="4"/>
  <c r="AE21" i="4"/>
  <c r="AC15" i="4"/>
  <c r="AP9" i="4"/>
  <c r="AP25" i="4"/>
  <c r="AP29" i="4" s="1"/>
  <c r="AF9" i="4"/>
  <c r="AF25" i="4"/>
  <c r="AF28" i="4"/>
  <c r="AI28" i="4"/>
  <c r="AH27" i="4"/>
  <c r="AE26" i="4"/>
  <c r="AI25" i="4"/>
  <c r="AI9" i="4"/>
  <c r="AH26" i="4"/>
  <c r="AA27" i="4"/>
  <c r="AA21" i="4"/>
  <c r="AS9" i="4"/>
  <c r="AS25" i="4"/>
  <c r="AS29" i="4" s="1"/>
  <c r="D37" i="2"/>
  <c r="D48" i="2"/>
  <c r="AD28" i="4"/>
  <c r="AN9" i="4"/>
  <c r="AN25" i="4"/>
  <c r="AN29" i="4" s="1"/>
  <c r="AR9" i="4"/>
  <c r="AR25" i="4"/>
  <c r="AR29" i="4" s="1"/>
  <c r="AE27" i="4"/>
  <c r="D38" i="2"/>
  <c r="E13" i="2"/>
  <c r="D49" i="2"/>
  <c r="AA28" i="4"/>
  <c r="AA25" i="4"/>
  <c r="AA9" i="4"/>
  <c r="AD15" i="4"/>
  <c r="AD21" i="4"/>
  <c r="AD26" i="4"/>
  <c r="AB25" i="4"/>
  <c r="AB9" i="4"/>
  <c r="AE28" i="4"/>
  <c r="AF15" i="4"/>
  <c r="AD27" i="4"/>
  <c r="AA26" i="4"/>
  <c r="AE25" i="4"/>
  <c r="AE9" i="4"/>
  <c r="AF21" i="4"/>
  <c r="AF26" i="4"/>
  <c r="AO25" i="4"/>
  <c r="AO29" i="4" s="1"/>
  <c r="AO9" i="4"/>
  <c r="AH25" i="4"/>
  <c r="AH9" i="4"/>
  <c r="AH28" i="4"/>
  <c r="AG27" i="4"/>
  <c r="AG21" i="4"/>
  <c r="D42" i="2"/>
  <c r="E17" i="2"/>
  <c r="D53" i="2"/>
  <c r="D41" i="2"/>
  <c r="E16" i="2"/>
  <c r="D52" i="2"/>
  <c r="D71" i="2"/>
  <c r="D65" i="2"/>
  <c r="D66" i="2"/>
  <c r="AX29" i="4"/>
  <c r="BO29" i="4"/>
  <c r="BD29" i="4"/>
  <c r="BP29" i="4"/>
  <c r="BK29" i="4"/>
  <c r="BF29" i="4"/>
  <c r="BJ29" i="4"/>
  <c r="BH29" i="4"/>
  <c r="BI29" i="4"/>
  <c r="BA29" i="4"/>
  <c r="BB29" i="4"/>
  <c r="BN28" i="4"/>
  <c r="BJ28" i="4"/>
  <c r="BP27" i="4"/>
  <c r="BL27" i="4"/>
  <c r="BH27" i="4"/>
  <c r="BN26" i="4"/>
  <c r="BJ26" i="4"/>
  <c r="BO20" i="4"/>
  <c r="BK20" i="4"/>
  <c r="BG20" i="4"/>
  <c r="BM28" i="4"/>
  <c r="BI28" i="4"/>
  <c r="BO27" i="4"/>
  <c r="BK27" i="4"/>
  <c r="BG27" i="4"/>
  <c r="BM26" i="4"/>
  <c r="BI26" i="4"/>
  <c r="BP20" i="4"/>
  <c r="BL20" i="4"/>
  <c r="BH20" i="4"/>
  <c r="BM19" i="4"/>
  <c r="BI19" i="4"/>
  <c r="BO18" i="4"/>
  <c r="BK18" i="4"/>
  <c r="BG18" i="4"/>
  <c r="BN14" i="4"/>
  <c r="BJ14" i="4"/>
  <c r="BP13" i="4"/>
  <c r="BL13" i="4"/>
  <c r="BH13" i="4"/>
  <c r="BN12" i="4"/>
  <c r="BJ12" i="4"/>
  <c r="BO8" i="4"/>
  <c r="BK8" i="4"/>
  <c r="BG8" i="4"/>
  <c r="BM7" i="4"/>
  <c r="BI7" i="4"/>
  <c r="BP19" i="4"/>
  <c r="BL19" i="4"/>
  <c r="BH19" i="4"/>
  <c r="BN18" i="4"/>
  <c r="BJ18" i="4"/>
  <c r="BO14" i="4"/>
  <c r="BK14" i="4"/>
  <c r="BG14" i="4"/>
  <c r="BM13" i="4"/>
  <c r="BI13" i="4"/>
  <c r="BO12" i="4"/>
  <c r="BK12" i="4"/>
  <c r="BG12" i="4"/>
  <c r="BN8" i="4"/>
  <c r="BJ8" i="4"/>
  <c r="BP7" i="4"/>
  <c r="BL7" i="4"/>
  <c r="BH7" i="4"/>
  <c r="BN6" i="4"/>
  <c r="BJ6" i="4"/>
  <c r="BM6" i="4"/>
  <c r="BO6" i="4"/>
  <c r="BG6" i="4"/>
  <c r="BL5" i="4"/>
  <c r="BK5" i="4"/>
  <c r="BC15" i="4"/>
  <c r="BK15" i="4"/>
  <c r="AZ12" i="4"/>
  <c r="AX13" i="4"/>
  <c r="BF13" i="4"/>
  <c r="BD14" i="4"/>
  <c r="BB5" i="4"/>
  <c r="BN5" i="4"/>
  <c r="BE5" i="4"/>
  <c r="BA6" i="4"/>
  <c r="BB11" i="4"/>
  <c r="BJ11" i="4"/>
  <c r="BA12" i="4"/>
  <c r="BA13" i="4"/>
  <c r="BA14" i="4"/>
  <c r="BA18" i="4"/>
  <c r="BA19" i="4"/>
  <c r="BB20" i="4"/>
  <c r="BF20" i="4"/>
  <c r="BD26" i="4"/>
  <c r="BB6" i="4"/>
  <c r="AZ27" i="4"/>
  <c r="AX7" i="4"/>
  <c r="BF7" i="4"/>
  <c r="BD28" i="4"/>
  <c r="BB8" i="4"/>
  <c r="BA11" i="4"/>
  <c r="BI11" i="4"/>
  <c r="BB21" i="4"/>
  <c r="BJ21" i="4"/>
  <c r="AZ17" i="4"/>
  <c r="BH17" i="4"/>
  <c r="BP17" i="4"/>
  <c r="BD18" i="4"/>
  <c r="BB19" i="4"/>
  <c r="AZ20" i="4"/>
  <c r="BA20" i="4"/>
  <c r="BE20" i="4"/>
  <c r="BE7" i="4"/>
  <c r="BE28" i="4"/>
  <c r="BC8" i="4"/>
  <c r="BC21" i="4"/>
  <c r="BK21" i="4"/>
  <c r="AY17" i="4"/>
  <c r="BG17" i="4"/>
  <c r="BO17" i="4"/>
  <c r="BH5" i="4"/>
  <c r="BG5" i="4"/>
  <c r="BA15" i="4"/>
  <c r="BI15" i="4"/>
  <c r="AX12" i="4"/>
  <c r="BF12" i="4"/>
  <c r="BD13" i="4"/>
  <c r="BB14" i="4"/>
  <c r="AZ5" i="4"/>
  <c r="BJ5" i="4"/>
  <c r="AY7" i="4"/>
  <c r="BI5" i="4"/>
  <c r="AZ11" i="4"/>
  <c r="BH11" i="4"/>
  <c r="BP11" i="4"/>
  <c r="BC12" i="4"/>
  <c r="BC13" i="4"/>
  <c r="BC14" i="4"/>
  <c r="BC18" i="4"/>
  <c r="BC19" i="4"/>
  <c r="AX26" i="4"/>
  <c r="BF26" i="4"/>
  <c r="BD6" i="4"/>
  <c r="BB27" i="4"/>
  <c r="AZ7" i="4"/>
  <c r="AX28" i="4"/>
  <c r="BF28" i="4"/>
  <c r="BD8" i="4"/>
  <c r="BC11" i="4"/>
  <c r="BK11" i="4"/>
  <c r="AZ21" i="4"/>
  <c r="BH21" i="4"/>
  <c r="BP21" i="4"/>
  <c r="BB17" i="4"/>
  <c r="BJ17" i="4"/>
  <c r="AX18" i="4"/>
  <c r="BF18" i="4"/>
  <c r="BD19" i="4"/>
  <c r="BE27" i="4"/>
  <c r="AY28" i="4"/>
  <c r="BA8" i="4"/>
  <c r="BA21" i="4"/>
  <c r="BI21" i="4"/>
  <c r="BA17" i="4"/>
  <c r="BI17" i="4"/>
  <c r="BO25" i="4"/>
  <c r="BK25" i="4"/>
  <c r="BG25" i="4"/>
  <c r="BC25" i="4"/>
  <c r="AY25" i="4"/>
  <c r="BF15" i="4"/>
  <c r="BL9" i="4"/>
  <c r="BF25" i="4"/>
  <c r="AX25" i="4"/>
  <c r="BP15" i="4"/>
  <c r="AZ15" i="4"/>
  <c r="AY27" i="4"/>
  <c r="AY26" i="4"/>
  <c r="BD9" i="4"/>
  <c r="BK9" i="4"/>
  <c r="BC9" i="4"/>
  <c r="AX15" i="4"/>
  <c r="BJ25" i="4"/>
  <c r="AZ25" i="4"/>
  <c r="BH25" i="4"/>
  <c r="BB15" i="4"/>
  <c r="BN9" i="4"/>
  <c r="BL15" i="4"/>
  <c r="BE26" i="4"/>
  <c r="BJ9" i="4"/>
  <c r="BM9" i="4"/>
  <c r="BE9" i="4"/>
  <c r="BH9" i="4"/>
  <c r="BL29" i="4"/>
  <c r="BG29" i="4"/>
  <c r="AY29" i="4"/>
  <c r="AW9" i="4"/>
  <c r="BC29" i="4"/>
  <c r="AW15" i="4"/>
  <c r="AZ29" i="4"/>
  <c r="BM29" i="4"/>
  <c r="BE29" i="4"/>
  <c r="BN29" i="4"/>
  <c r="BP28" i="4"/>
  <c r="BL28" i="4"/>
  <c r="BH28" i="4"/>
  <c r="BN27" i="4"/>
  <c r="BJ27" i="4"/>
  <c r="BP26" i="4"/>
  <c r="BL26" i="4"/>
  <c r="BH26" i="4"/>
  <c r="BM20" i="4"/>
  <c r="BI20" i="4"/>
  <c r="BO28" i="4"/>
  <c r="BK28" i="4"/>
  <c r="BG28" i="4"/>
  <c r="BM27" i="4"/>
  <c r="BI27" i="4"/>
  <c r="BO26" i="4"/>
  <c r="BK26" i="4"/>
  <c r="BG26" i="4"/>
  <c r="BN20" i="4"/>
  <c r="BJ20" i="4"/>
  <c r="BO19" i="4"/>
  <c r="BK19" i="4"/>
  <c r="BG19" i="4"/>
  <c r="BM18" i="4"/>
  <c r="BI18" i="4"/>
  <c r="BP14" i="4"/>
  <c r="BL14" i="4"/>
  <c r="BH14" i="4"/>
  <c r="BN13" i="4"/>
  <c r="BJ13" i="4"/>
  <c r="BP12" i="4"/>
  <c r="BL12" i="4"/>
  <c r="BH12" i="4"/>
  <c r="BM8" i="4"/>
  <c r="BI8" i="4"/>
  <c r="BO7" i="4"/>
  <c r="BK7" i="4"/>
  <c r="BG7" i="4"/>
  <c r="BN19" i="4"/>
  <c r="BJ19" i="4"/>
  <c r="BP18" i="4"/>
  <c r="BL18" i="4"/>
  <c r="BH18" i="4"/>
  <c r="BM14" i="4"/>
  <c r="BI14" i="4"/>
  <c r="BO13" i="4"/>
  <c r="BK13" i="4"/>
  <c r="BG13" i="4"/>
  <c r="BM12" i="4"/>
  <c r="BI12" i="4"/>
  <c r="BP8" i="4"/>
  <c r="BL8" i="4"/>
  <c r="BH8" i="4"/>
  <c r="BN7" i="4"/>
  <c r="BJ7" i="4"/>
  <c r="BP6" i="4"/>
  <c r="BL6" i="4"/>
  <c r="BH6" i="4"/>
  <c r="BI6" i="4"/>
  <c r="BK6" i="4"/>
  <c r="BC6" i="4"/>
  <c r="BC5" i="4"/>
  <c r="AY15" i="4"/>
  <c r="BG15" i="4"/>
  <c r="BO15" i="4"/>
  <c r="BD12" i="4"/>
  <c r="BB13" i="4"/>
  <c r="AZ14" i="4"/>
  <c r="AX5" i="4"/>
  <c r="BF5" i="4"/>
  <c r="BA7" i="4"/>
  <c r="BM5" i="4"/>
  <c r="AX11" i="4"/>
  <c r="BF11" i="4"/>
  <c r="BN11" i="4"/>
  <c r="BE12" i="4"/>
  <c r="BE13" i="4"/>
  <c r="BE14" i="4"/>
  <c r="BE18" i="4"/>
  <c r="BE19" i="4"/>
  <c r="BD20" i="4"/>
  <c r="AZ26" i="4"/>
  <c r="AX6" i="4"/>
  <c r="BF6" i="4"/>
  <c r="BD27" i="4"/>
  <c r="BB7" i="4"/>
  <c r="AZ28" i="4"/>
  <c r="AX8" i="4"/>
  <c r="BF8" i="4"/>
  <c r="BE11" i="4"/>
  <c r="BM11" i="4"/>
  <c r="BF21" i="4"/>
  <c r="BN21" i="4"/>
  <c r="BD17" i="4"/>
  <c r="BL17" i="4"/>
  <c r="AZ18" i="4"/>
  <c r="AX19" i="4"/>
  <c r="BF19" i="4"/>
  <c r="AY20" i="4"/>
  <c r="BC20" i="4"/>
  <c r="BC27" i="4"/>
  <c r="BA28" i="4"/>
  <c r="AY8" i="4"/>
  <c r="AY21" i="4"/>
  <c r="BG21" i="4"/>
  <c r="BO21" i="4"/>
  <c r="BC17" i="4"/>
  <c r="BK17" i="4"/>
  <c r="AY6" i="4"/>
  <c r="AY5" i="4"/>
  <c r="BO5" i="4"/>
  <c r="BE15" i="4"/>
  <c r="BM15" i="4"/>
  <c r="BB12" i="4"/>
  <c r="AZ13" i="4"/>
  <c r="AX14" i="4"/>
  <c r="BF14" i="4"/>
  <c r="BD5" i="4"/>
  <c r="BP5" i="4"/>
  <c r="BA5" i="4"/>
  <c r="BE6" i="4"/>
  <c r="BD11" i="4"/>
  <c r="BL11" i="4"/>
  <c r="AY12" i="4"/>
  <c r="AY13" i="4"/>
  <c r="AY14" i="4"/>
  <c r="AY18" i="4"/>
  <c r="AY19" i="4"/>
  <c r="AX21" i="4"/>
  <c r="BB26" i="4"/>
  <c r="AZ6" i="4"/>
  <c r="AX27" i="4"/>
  <c r="BF27" i="4"/>
  <c r="BD7" i="4"/>
  <c r="BB28" i="4"/>
  <c r="AZ8" i="4"/>
  <c r="AY11" i="4"/>
  <c r="BG11" i="4"/>
  <c r="BO11" i="4"/>
  <c r="BD21" i="4"/>
  <c r="BL21" i="4"/>
  <c r="AX17" i="4"/>
  <c r="BF17" i="4"/>
  <c r="BN17" i="4"/>
  <c r="BB18" i="4"/>
  <c r="AZ19" i="4"/>
  <c r="AX20" i="4"/>
  <c r="BC7" i="4"/>
  <c r="BC28" i="4"/>
  <c r="BE8" i="4"/>
  <c r="BE21" i="4"/>
  <c r="BM21" i="4"/>
  <c r="BE17" i="4"/>
  <c r="BM17" i="4"/>
  <c r="BM25" i="4"/>
  <c r="BI25" i="4"/>
  <c r="BE25" i="4"/>
  <c r="BA25" i="4"/>
  <c r="BN15" i="4"/>
  <c r="BF9" i="4"/>
  <c r="BN25" i="4"/>
  <c r="BB25" i="4"/>
  <c r="BL25" i="4"/>
  <c r="BH15" i="4"/>
  <c r="AW21" i="4"/>
  <c r="BC26" i="4"/>
  <c r="BP9" i="4"/>
  <c r="BO9" i="4"/>
  <c r="BG9" i="4"/>
  <c r="AY9" i="4"/>
  <c r="BP25" i="4"/>
  <c r="BD25" i="4"/>
  <c r="AX9" i="4"/>
  <c r="BJ15" i="4"/>
  <c r="BA27" i="4"/>
  <c r="BB9" i="4"/>
  <c r="BD15" i="4"/>
  <c r="BA26" i="4"/>
  <c r="AZ9" i="4"/>
  <c r="BI9" i="4"/>
  <c r="BA9" i="4"/>
  <c r="AC29" i="4" l="1"/>
  <c r="I7" i="5"/>
  <c r="I21" i="5"/>
  <c r="I24" i="5"/>
  <c r="I10" i="5"/>
  <c r="J3" i="5"/>
  <c r="I9" i="5"/>
  <c r="I2" i="5"/>
  <c r="I22" i="5"/>
  <c r="I67" i="3"/>
  <c r="AG67" i="3" s="1"/>
  <c r="I61" i="3"/>
  <c r="AG61" i="3" s="1"/>
  <c r="I51" i="3"/>
  <c r="AG51" i="3" s="1"/>
  <c r="I44" i="3"/>
  <c r="AG44" i="3" s="1"/>
  <c r="I37" i="3"/>
  <c r="AG37" i="3" s="1"/>
  <c r="I27" i="3"/>
  <c r="I20" i="3"/>
  <c r="AG20" i="3" s="1"/>
  <c r="I11" i="3"/>
  <c r="AG11" i="3" s="1"/>
  <c r="I5" i="3"/>
  <c r="I53" i="3"/>
  <c r="AG53" i="3" s="1"/>
  <c r="I41" i="3"/>
  <c r="AG41" i="3" s="1"/>
  <c r="I30" i="3"/>
  <c r="AG30" i="3" s="1"/>
  <c r="I18" i="3"/>
  <c r="I6" i="3"/>
  <c r="I64" i="3"/>
  <c r="AG64" i="3" s="1"/>
  <c r="I46" i="3"/>
  <c r="AG46" i="3" s="1"/>
  <c r="I10" i="3"/>
  <c r="AG10" i="3" s="1"/>
  <c r="I65" i="3"/>
  <c r="AG65" i="3" s="1"/>
  <c r="I60" i="3"/>
  <c r="AG60" i="3" s="1"/>
  <c r="I63" i="3"/>
  <c r="AG63" i="3" s="1"/>
  <c r="I57" i="3"/>
  <c r="I48" i="3"/>
  <c r="AG48" i="3" s="1"/>
  <c r="I39" i="3"/>
  <c r="AG39" i="3" s="1"/>
  <c r="I33" i="3"/>
  <c r="AG33" i="3" s="1"/>
  <c r="I25" i="3"/>
  <c r="I13" i="3"/>
  <c r="AG13" i="3" s="1"/>
  <c r="I8" i="3"/>
  <c r="AG8" i="3" s="1"/>
  <c r="I3" i="3"/>
  <c r="I68" i="3"/>
  <c r="AG68" i="3" s="1"/>
  <c r="I55" i="3"/>
  <c r="I50" i="3"/>
  <c r="AG50" i="3" s="1"/>
  <c r="I35" i="3"/>
  <c r="I24" i="3"/>
  <c r="AG24" i="3" s="1"/>
  <c r="I16" i="3"/>
  <c r="AG16" i="3" s="1"/>
  <c r="I22" i="3"/>
  <c r="AG22" i="3" s="1"/>
  <c r="I62" i="3"/>
  <c r="AG62" i="3" s="1"/>
  <c r="I42" i="3"/>
  <c r="AG42" i="3" s="1"/>
  <c r="I26" i="3"/>
  <c r="AG26" i="3" s="1"/>
  <c r="I9" i="3"/>
  <c r="AG9" i="3" s="1"/>
  <c r="I58" i="3"/>
  <c r="AG58" i="3" s="1"/>
  <c r="I40" i="3"/>
  <c r="AG40" i="3" s="1"/>
  <c r="I17" i="3"/>
  <c r="AG17" i="3" s="1"/>
  <c r="I59" i="3"/>
  <c r="AG59" i="3" s="1"/>
  <c r="I56" i="3"/>
  <c r="AG56" i="3" s="1"/>
  <c r="I38" i="3"/>
  <c r="AG38" i="3" s="1"/>
  <c r="I23" i="3"/>
  <c r="AG23" i="3" s="1"/>
  <c r="I7" i="3"/>
  <c r="AG7" i="3" s="1"/>
  <c r="I54" i="3"/>
  <c r="AG54" i="3" s="1"/>
  <c r="I31" i="3"/>
  <c r="I14" i="3"/>
  <c r="AG14" i="3" s="1"/>
  <c r="I34" i="3"/>
  <c r="AG34" i="3" s="1"/>
  <c r="I49" i="3"/>
  <c r="AG49" i="3" s="1"/>
  <c r="I36" i="3"/>
  <c r="AG36" i="3" s="1"/>
  <c r="I15" i="3"/>
  <c r="AG15" i="3" s="1"/>
  <c r="I4" i="3"/>
  <c r="I52" i="3"/>
  <c r="AG52" i="3" s="1"/>
  <c r="I28" i="3"/>
  <c r="I29" i="3"/>
  <c r="AG29" i="3" s="1"/>
  <c r="I45" i="3"/>
  <c r="AG45" i="3" s="1"/>
  <c r="I32" i="3"/>
  <c r="AG32" i="3" s="1"/>
  <c r="I12" i="3"/>
  <c r="I66" i="3"/>
  <c r="AG66" i="3" s="1"/>
  <c r="I43" i="3"/>
  <c r="I19" i="3"/>
  <c r="AG19" i="3" s="1"/>
  <c r="I47" i="3"/>
  <c r="AG47" i="3" s="1"/>
  <c r="I21" i="3"/>
  <c r="AG21" i="3" s="1"/>
  <c r="AI29" i="4"/>
  <c r="AG29" i="4"/>
  <c r="AH29" i="4"/>
  <c r="AD29" i="4"/>
  <c r="AA29" i="4"/>
  <c r="AE29" i="4"/>
  <c r="AF29" i="4"/>
  <c r="AB29" i="4"/>
  <c r="J21" i="5" l="1"/>
  <c r="J7" i="5"/>
  <c r="J10" i="5"/>
  <c r="J2" i="5"/>
  <c r="J22" i="5"/>
  <c r="J24" i="5"/>
  <c r="J9" i="5"/>
  <c r="K3" i="5"/>
  <c r="K18" i="5" s="1"/>
  <c r="AG12" i="3"/>
  <c r="D6" i="5"/>
  <c r="E6" i="5"/>
  <c r="F6" i="5"/>
  <c r="G6" i="5"/>
  <c r="H6" i="5"/>
  <c r="I6" i="5"/>
  <c r="J6" i="5"/>
  <c r="D19" i="5"/>
  <c r="AG28" i="3"/>
  <c r="E19" i="5"/>
  <c r="F19" i="5"/>
  <c r="G19" i="5"/>
  <c r="H19" i="5"/>
  <c r="I19" i="5"/>
  <c r="J19" i="5"/>
  <c r="D15" i="5"/>
  <c r="AG31" i="3"/>
  <c r="E15" i="5"/>
  <c r="F15" i="5"/>
  <c r="G15" i="5"/>
  <c r="H15" i="5"/>
  <c r="I15" i="5"/>
  <c r="J15" i="5"/>
  <c r="D12" i="5"/>
  <c r="AG25" i="3"/>
  <c r="E12" i="5"/>
  <c r="F12" i="5"/>
  <c r="G12" i="5"/>
  <c r="H12" i="5"/>
  <c r="I12" i="5"/>
  <c r="J12" i="5"/>
  <c r="D17" i="5"/>
  <c r="AG57" i="3"/>
  <c r="E17" i="5"/>
  <c r="F17" i="5"/>
  <c r="G17" i="5"/>
  <c r="H17" i="5"/>
  <c r="I17" i="5"/>
  <c r="J17" i="5"/>
  <c r="AG18" i="3"/>
  <c r="D20" i="5"/>
  <c r="E20" i="5"/>
  <c r="F20" i="5"/>
  <c r="G20" i="5"/>
  <c r="H20" i="5"/>
  <c r="I20" i="5"/>
  <c r="J20" i="5"/>
  <c r="D5" i="5"/>
  <c r="AG5" i="3"/>
  <c r="E5" i="5"/>
  <c r="F5" i="5"/>
  <c r="G5" i="5"/>
  <c r="H5" i="5"/>
  <c r="I5" i="5"/>
  <c r="J5" i="5"/>
  <c r="AG35" i="3"/>
  <c r="D13" i="5"/>
  <c r="E13" i="5"/>
  <c r="F13" i="5"/>
  <c r="G13" i="5"/>
  <c r="H13" i="5"/>
  <c r="I13" i="5"/>
  <c r="J13" i="5"/>
  <c r="AG3" i="3"/>
  <c r="D11" i="5"/>
  <c r="E11" i="5"/>
  <c r="F11" i="5"/>
  <c r="G11" i="5"/>
  <c r="H11" i="5"/>
  <c r="I11" i="5"/>
  <c r="J11" i="5"/>
  <c r="D14" i="5"/>
  <c r="AG43" i="3"/>
  <c r="E14" i="5"/>
  <c r="F14" i="5"/>
  <c r="G14" i="5"/>
  <c r="H14" i="5"/>
  <c r="I14" i="5"/>
  <c r="J14" i="5"/>
  <c r="D4" i="5"/>
  <c r="AG4" i="3"/>
  <c r="E4" i="5"/>
  <c r="F4" i="5"/>
  <c r="G4" i="5"/>
  <c r="H4" i="5"/>
  <c r="I4" i="5"/>
  <c r="J4" i="5"/>
  <c r="AG55" i="3"/>
  <c r="D8" i="5"/>
  <c r="E8" i="5"/>
  <c r="F8" i="5"/>
  <c r="G8" i="5"/>
  <c r="H8" i="5"/>
  <c r="I8" i="5"/>
  <c r="J8" i="5"/>
  <c r="AG6" i="3"/>
  <c r="D18" i="5"/>
  <c r="E18" i="5"/>
  <c r="F18" i="5"/>
  <c r="G18" i="5"/>
  <c r="H18" i="5"/>
  <c r="I18" i="5"/>
  <c r="J18" i="5"/>
  <c r="AG27" i="3"/>
  <c r="D16" i="5"/>
  <c r="E16" i="5"/>
  <c r="F16" i="5"/>
  <c r="G16" i="5"/>
  <c r="H16" i="5"/>
  <c r="I16" i="5"/>
  <c r="J16" i="5"/>
  <c r="K12" i="5" l="1"/>
  <c r="K4" i="5"/>
  <c r="K17" i="5"/>
  <c r="K20" i="5"/>
  <c r="K13" i="5"/>
  <c r="K15" i="5"/>
  <c r="K16" i="5"/>
  <c r="K19" i="5"/>
  <c r="K14" i="5"/>
  <c r="K6" i="5"/>
  <c r="K11" i="5"/>
  <c r="K22" i="5"/>
  <c r="K9" i="5"/>
  <c r="K2" i="5"/>
  <c r="L3" i="5"/>
  <c r="K21" i="5"/>
  <c r="K24" i="5"/>
  <c r="K7" i="5"/>
  <c r="K10" i="5"/>
  <c r="K5" i="5"/>
  <c r="K8" i="5"/>
  <c r="D23" i="5"/>
  <c r="D26" i="5" s="1"/>
  <c r="G23" i="5"/>
  <c r="G26" i="5" s="1"/>
  <c r="I23" i="5"/>
  <c r="I26" i="5" s="1"/>
  <c r="E23" i="5"/>
  <c r="E26" i="5" s="1"/>
  <c r="H23" i="5"/>
  <c r="H26" i="5" s="1"/>
  <c r="J23" i="5"/>
  <c r="J26" i="5" s="1"/>
  <c r="F23" i="5"/>
  <c r="F26" i="5" s="1"/>
  <c r="AG1" i="3"/>
  <c r="B31" i="5" s="1"/>
  <c r="B32" i="5" s="1"/>
  <c r="K23" i="5" l="1"/>
  <c r="K26" i="5" s="1"/>
  <c r="L18" i="5"/>
  <c r="L11" i="5"/>
  <c r="L17" i="5"/>
  <c r="L9" i="5"/>
  <c r="L4" i="5"/>
  <c r="L2" i="5"/>
  <c r="L21" i="5"/>
  <c r="L15" i="5"/>
  <c r="L13" i="5"/>
  <c r="L6" i="5"/>
  <c r="L24" i="5"/>
  <c r="L19" i="5"/>
  <c r="L20" i="5"/>
  <c r="L14" i="5"/>
  <c r="L12" i="5"/>
  <c r="L5" i="5"/>
  <c r="M3" i="5"/>
  <c r="L22" i="5"/>
  <c r="L16" i="5"/>
  <c r="L10" i="5"/>
  <c r="L8" i="5"/>
  <c r="L7" i="5"/>
  <c r="F83" i="2"/>
  <c r="F84" i="2" s="1"/>
  <c r="M18" i="5" l="1"/>
  <c r="M19" i="5"/>
  <c r="M16" i="5"/>
  <c r="M11" i="5"/>
  <c r="M5" i="5"/>
  <c r="N3" i="5"/>
  <c r="M21" i="5"/>
  <c r="M13" i="5"/>
  <c r="M4" i="5"/>
  <c r="M17" i="5"/>
  <c r="M14" i="5"/>
  <c r="M9" i="5"/>
  <c r="M8" i="5"/>
  <c r="M24" i="5"/>
  <c r="M22" i="5"/>
  <c r="M20" i="5"/>
  <c r="M10" i="5"/>
  <c r="M12" i="5"/>
  <c r="M6" i="5"/>
  <c r="M2" i="5"/>
  <c r="M15" i="5"/>
  <c r="M7" i="5"/>
  <c r="L23" i="5"/>
  <c r="L26" i="5" s="1"/>
  <c r="N20" i="5" l="1"/>
  <c r="N18" i="5"/>
  <c r="N12" i="5"/>
  <c r="N10" i="5"/>
  <c r="N6" i="5"/>
  <c r="N17" i="5"/>
  <c r="N22" i="5"/>
  <c r="N9" i="5"/>
  <c r="N14" i="5"/>
  <c r="N7" i="5"/>
  <c r="N2" i="5"/>
  <c r="N16" i="5"/>
  <c r="N15" i="5"/>
  <c r="N8" i="5"/>
  <c r="N5" i="5"/>
  <c r="N24" i="5"/>
  <c r="N21" i="5"/>
  <c r="N19" i="5"/>
  <c r="N13" i="5"/>
  <c r="N11" i="5"/>
  <c r="N4" i="5"/>
  <c r="O3" i="5"/>
  <c r="M23" i="5"/>
  <c r="M26" i="5" s="1"/>
  <c r="O16" i="5" l="1"/>
  <c r="O18" i="5"/>
  <c r="O8" i="5"/>
  <c r="O10" i="5"/>
  <c r="O6" i="5"/>
  <c r="P3" i="5"/>
  <c r="O19" i="5"/>
  <c r="O21" i="5"/>
  <c r="O11" i="5"/>
  <c r="O13" i="5"/>
  <c r="O5" i="5"/>
  <c r="O20" i="5"/>
  <c r="O22" i="5"/>
  <c r="O12" i="5"/>
  <c r="O14" i="5"/>
  <c r="O4" i="5"/>
  <c r="O2" i="5"/>
  <c r="O15" i="5"/>
  <c r="O17" i="5"/>
  <c r="O7" i="5"/>
  <c r="O9" i="5"/>
  <c r="O24" i="5"/>
  <c r="N23" i="5"/>
  <c r="N26" i="5" s="1"/>
  <c r="O23" i="5" l="1"/>
  <c r="O26" i="5" s="1"/>
  <c r="P18" i="5"/>
  <c r="P16" i="5"/>
  <c r="P13" i="5"/>
  <c r="P7" i="5"/>
  <c r="P24" i="5"/>
  <c r="P19" i="5"/>
  <c r="P21" i="5"/>
  <c r="P11" i="5"/>
  <c r="P12" i="5"/>
  <c r="P6" i="5"/>
  <c r="Q3" i="5"/>
  <c r="P15" i="5"/>
  <c r="P17" i="5"/>
  <c r="P14" i="5"/>
  <c r="P8" i="5"/>
  <c r="P5" i="5"/>
  <c r="P2" i="5"/>
  <c r="P22" i="5"/>
  <c r="P20" i="5"/>
  <c r="P10" i="5"/>
  <c r="P9" i="5"/>
  <c r="P4" i="5"/>
  <c r="P23" i="5" l="1"/>
  <c r="P26" i="5" s="1"/>
  <c r="Q17" i="5"/>
  <c r="Q16" i="5"/>
  <c r="Q9" i="5"/>
  <c r="Q6" i="5"/>
  <c r="Q24" i="5"/>
  <c r="Q22" i="5"/>
  <c r="Q20" i="5"/>
  <c r="Q14" i="5"/>
  <c r="Q12" i="5"/>
  <c r="Q5" i="5"/>
  <c r="R3" i="5"/>
  <c r="Q18" i="5"/>
  <c r="Q19" i="5"/>
  <c r="Q10" i="5"/>
  <c r="Q11" i="5"/>
  <c r="Q4" i="5"/>
  <c r="Q2" i="5"/>
  <c r="Q21" i="5"/>
  <c r="Q15" i="5"/>
  <c r="Q13" i="5"/>
  <c r="Q7" i="5"/>
  <c r="Q8" i="5"/>
  <c r="R17" i="5" l="1"/>
  <c r="R22" i="5"/>
  <c r="R12" i="5"/>
  <c r="R14" i="5"/>
  <c r="R4" i="5"/>
  <c r="R2" i="5"/>
  <c r="R16" i="5"/>
  <c r="R13" i="5"/>
  <c r="R11" i="5"/>
  <c r="R7" i="5"/>
  <c r="R21" i="5"/>
  <c r="R19" i="5"/>
  <c r="R9" i="5"/>
  <c r="R15" i="5"/>
  <c r="R5" i="5"/>
  <c r="R24" i="5"/>
  <c r="R20" i="5"/>
  <c r="R18" i="5"/>
  <c r="R8" i="5"/>
  <c r="R10" i="5"/>
  <c r="R6" i="5"/>
  <c r="S3" i="5"/>
  <c r="Q23" i="5"/>
  <c r="Q26" i="5" s="1"/>
  <c r="S16" i="5" l="1"/>
  <c r="S18" i="5"/>
  <c r="S8" i="5"/>
  <c r="S10" i="5"/>
  <c r="S6" i="5"/>
  <c r="S2" i="5"/>
  <c r="S15" i="5"/>
  <c r="S17" i="5"/>
  <c r="S7" i="5"/>
  <c r="S9" i="5"/>
  <c r="S22" i="5"/>
  <c r="S12" i="5"/>
  <c r="S14" i="5"/>
  <c r="S4" i="5"/>
  <c r="S24" i="5"/>
  <c r="S19" i="5"/>
  <c r="S21" i="5"/>
  <c r="S11" i="5"/>
  <c r="S13" i="5"/>
  <c r="S5" i="5"/>
  <c r="T3" i="5"/>
  <c r="S20" i="5"/>
  <c r="R23" i="5"/>
  <c r="R26" i="5" s="1"/>
  <c r="S23" i="5" l="1"/>
  <c r="S26" i="5" s="1"/>
  <c r="T15" i="5"/>
  <c r="T17" i="5"/>
  <c r="T14" i="5"/>
  <c r="T8" i="5"/>
  <c r="T7" i="5"/>
  <c r="T2" i="5"/>
  <c r="T18" i="5"/>
  <c r="T16" i="5"/>
  <c r="T13" i="5"/>
  <c r="T5" i="5"/>
  <c r="T24" i="5"/>
  <c r="T19" i="5"/>
  <c r="T21" i="5"/>
  <c r="T11" i="5"/>
  <c r="T12" i="5"/>
  <c r="T9" i="5"/>
  <c r="U3" i="5"/>
  <c r="T22" i="5"/>
  <c r="T20" i="5"/>
  <c r="T10" i="5"/>
  <c r="T6" i="5"/>
  <c r="T4" i="5"/>
  <c r="T23" i="5" l="1"/>
  <c r="T26" i="5" s="1"/>
  <c r="U18" i="5"/>
  <c r="U19" i="5"/>
  <c r="U13" i="5"/>
  <c r="U11" i="5"/>
  <c r="U4" i="5"/>
  <c r="U2" i="5"/>
  <c r="U17" i="5"/>
  <c r="U14" i="5"/>
  <c r="U12" i="5"/>
  <c r="U6" i="5"/>
  <c r="U24" i="5"/>
  <c r="U21" i="5"/>
  <c r="U15" i="5"/>
  <c r="U9" i="5"/>
  <c r="U7" i="5"/>
  <c r="U8" i="5"/>
  <c r="U22" i="5"/>
  <c r="U20" i="5"/>
  <c r="U10" i="5"/>
  <c r="U16" i="5"/>
  <c r="U5" i="5"/>
  <c r="V3" i="5"/>
  <c r="V17" i="5" l="1"/>
  <c r="V22" i="5"/>
  <c r="V12" i="5"/>
  <c r="V14" i="5"/>
  <c r="V7" i="5"/>
  <c r="V2" i="5"/>
  <c r="V16" i="5"/>
  <c r="V13" i="5"/>
  <c r="V15" i="5"/>
  <c r="V5" i="5"/>
  <c r="V24" i="5"/>
  <c r="V21" i="5"/>
  <c r="V19" i="5"/>
  <c r="V9" i="5"/>
  <c r="V11" i="5"/>
  <c r="V4" i="5"/>
  <c r="W3" i="5"/>
  <c r="V20" i="5"/>
  <c r="V18" i="5"/>
  <c r="V8" i="5"/>
  <c r="V10" i="5"/>
  <c r="V6" i="5"/>
  <c r="U23" i="5"/>
  <c r="U26" i="5" s="1"/>
  <c r="V23" i="5" l="1"/>
  <c r="V26" i="5" s="1"/>
  <c r="W16" i="5"/>
  <c r="W18" i="5"/>
  <c r="W8" i="5"/>
  <c r="W10" i="5"/>
  <c r="W6" i="5"/>
  <c r="X3" i="5"/>
  <c r="W20" i="5"/>
  <c r="W22" i="5"/>
  <c r="W12" i="5"/>
  <c r="W14" i="5"/>
  <c r="W4" i="5"/>
  <c r="W2" i="5"/>
  <c r="W19" i="5"/>
  <c r="W21" i="5"/>
  <c r="W11" i="5"/>
  <c r="W13" i="5"/>
  <c r="W5" i="5"/>
  <c r="W15" i="5"/>
  <c r="W17" i="5"/>
  <c r="W7" i="5"/>
  <c r="W9" i="5"/>
  <c r="W24" i="5"/>
  <c r="X22" i="5" l="1"/>
  <c r="X17" i="5"/>
  <c r="X10" i="5"/>
  <c r="X7" i="5"/>
  <c r="X4" i="5"/>
  <c r="X18" i="5"/>
  <c r="X20" i="5"/>
  <c r="X13" i="5"/>
  <c r="X6" i="5"/>
  <c r="X24" i="5"/>
  <c r="X19" i="5"/>
  <c r="X14" i="5"/>
  <c r="X16" i="5"/>
  <c r="X12" i="5"/>
  <c r="X9" i="5"/>
  <c r="Y3" i="5"/>
  <c r="X15" i="5"/>
  <c r="X21" i="5"/>
  <c r="X11" i="5"/>
  <c r="X8" i="5"/>
  <c r="X5" i="5"/>
  <c r="X2" i="5"/>
  <c r="W23" i="5"/>
  <c r="W26" i="5" s="1"/>
  <c r="Y18" i="5" l="1"/>
  <c r="Y19" i="5"/>
  <c r="Y13" i="5"/>
  <c r="Y11" i="5"/>
  <c r="Y5" i="5"/>
  <c r="Z3" i="5"/>
  <c r="Y21" i="5"/>
  <c r="Y15" i="5"/>
  <c r="Y9" i="5"/>
  <c r="Y7" i="5"/>
  <c r="Y4" i="5"/>
  <c r="Y2" i="5"/>
  <c r="Y17" i="5"/>
  <c r="Y10" i="5"/>
  <c r="Y16" i="5"/>
  <c r="Y6" i="5"/>
  <c r="Y22" i="5"/>
  <c r="Y20" i="5"/>
  <c r="Y14" i="5"/>
  <c r="Y12" i="5"/>
  <c r="Y8" i="5"/>
  <c r="Y24" i="5"/>
  <c r="X23" i="5"/>
  <c r="X26" i="5" s="1"/>
  <c r="Y23" i="5" l="1"/>
  <c r="Y26" i="5" s="1"/>
  <c r="Z17" i="5"/>
  <c r="Z22" i="5"/>
  <c r="Z9" i="5"/>
  <c r="Z11" i="5"/>
  <c r="Z4" i="5"/>
  <c r="Z2" i="5"/>
  <c r="Z16" i="5"/>
  <c r="Z14" i="5"/>
  <c r="Z12" i="5"/>
  <c r="Z7" i="5"/>
  <c r="Z24" i="5"/>
  <c r="Z21" i="5"/>
  <c r="Z19" i="5"/>
  <c r="Z13" i="5"/>
  <c r="Z8" i="5"/>
  <c r="Z5" i="5"/>
  <c r="AA3" i="5"/>
  <c r="Z20" i="5"/>
  <c r="Z18" i="5"/>
  <c r="Z15" i="5"/>
  <c r="Z10" i="5"/>
  <c r="Z6" i="5"/>
  <c r="AA20" i="5" l="1"/>
  <c r="AA22" i="5"/>
  <c r="AA12" i="5"/>
  <c r="AA10" i="5"/>
  <c r="AA4" i="5"/>
  <c r="AA24" i="5"/>
  <c r="AA16" i="5"/>
  <c r="AA18" i="5"/>
  <c r="AA8" i="5"/>
  <c r="AA14" i="5"/>
  <c r="AA6" i="5"/>
  <c r="AA2" i="5"/>
  <c r="AA19" i="5"/>
  <c r="AA21" i="5"/>
  <c r="AA11" i="5"/>
  <c r="AA13" i="5"/>
  <c r="AA5" i="5"/>
  <c r="AB3" i="5"/>
  <c r="AA15" i="5"/>
  <c r="AA17" i="5"/>
  <c r="AA7" i="5"/>
  <c r="AA9" i="5"/>
  <c r="Z23" i="5"/>
  <c r="Z26" i="5" s="1"/>
  <c r="AB15" i="5" l="1"/>
  <c r="AB5" i="5"/>
  <c r="AB22" i="5"/>
  <c r="AB17" i="5"/>
  <c r="AB7" i="5"/>
  <c r="AB12" i="5"/>
  <c r="AB4" i="5"/>
  <c r="AB2" i="5"/>
  <c r="AB19" i="5"/>
  <c r="AB14" i="5"/>
  <c r="AB16" i="5"/>
  <c r="AB13" i="5"/>
  <c r="AB6" i="5"/>
  <c r="AB24" i="5"/>
  <c r="AB21" i="5"/>
  <c r="AB11" i="5"/>
  <c r="AB9" i="5"/>
  <c r="AC3" i="5"/>
  <c r="AB18" i="5"/>
  <c r="AB20" i="5"/>
  <c r="AB10" i="5"/>
  <c r="AB8" i="5"/>
  <c r="AA23" i="5"/>
  <c r="AA26" i="5" s="1"/>
  <c r="AB23" i="5" l="1"/>
  <c r="AB26" i="5" s="1"/>
  <c r="AC18" i="5"/>
  <c r="AC19" i="5"/>
  <c r="AC13" i="5"/>
  <c r="AC11" i="5"/>
  <c r="AC5" i="5"/>
  <c r="AC2" i="5"/>
  <c r="AC17" i="5"/>
  <c r="AC10" i="5"/>
  <c r="AC14" i="5"/>
  <c r="AC8" i="5"/>
  <c r="AC22" i="5"/>
  <c r="AC20" i="5"/>
  <c r="AC16" i="5"/>
  <c r="AC12" i="5"/>
  <c r="AC6" i="5"/>
  <c r="AC24" i="5"/>
  <c r="AC21" i="5"/>
  <c r="AC15" i="5"/>
  <c r="AC9" i="5"/>
  <c r="AC7" i="5"/>
  <c r="AC4" i="5"/>
  <c r="AD3" i="5"/>
  <c r="AD16" i="5" l="1"/>
  <c r="AD15" i="5"/>
  <c r="AD12" i="5"/>
  <c r="AD5" i="5"/>
  <c r="AD21" i="5"/>
  <c r="AD19" i="5"/>
  <c r="AD13" i="5"/>
  <c r="AD8" i="5"/>
  <c r="AD4" i="5"/>
  <c r="AD24" i="5"/>
  <c r="AD17" i="5"/>
  <c r="AD22" i="5"/>
  <c r="AD9" i="5"/>
  <c r="AD11" i="5"/>
  <c r="AD7" i="5"/>
  <c r="AE3" i="5"/>
  <c r="AD20" i="5"/>
  <c r="AD18" i="5"/>
  <c r="AD14" i="5"/>
  <c r="AD10" i="5"/>
  <c r="AD6" i="5"/>
  <c r="AD2" i="5"/>
  <c r="AC23" i="5"/>
  <c r="AC26" i="5" s="1"/>
  <c r="AE20" i="5" l="1"/>
  <c r="AE22" i="5"/>
  <c r="AE14" i="5"/>
  <c r="AE7" i="5"/>
  <c r="AE4" i="5"/>
  <c r="AE15" i="5"/>
  <c r="AE17" i="5"/>
  <c r="AE11" i="5"/>
  <c r="AE9" i="5"/>
  <c r="AF3" i="5"/>
  <c r="AE16" i="5"/>
  <c r="AE18" i="5"/>
  <c r="AE12" i="5"/>
  <c r="AE10" i="5"/>
  <c r="AE6" i="5"/>
  <c r="AE24" i="5"/>
  <c r="AE19" i="5"/>
  <c r="AE21" i="5"/>
  <c r="AE8" i="5"/>
  <c r="AE13" i="5"/>
  <c r="AE5" i="5"/>
  <c r="AE2" i="5"/>
  <c r="AD23" i="5"/>
  <c r="AD26" i="5" s="1"/>
  <c r="AF7" i="5" l="1"/>
  <c r="AG3" i="5"/>
  <c r="AF18" i="5"/>
  <c r="AF20" i="5"/>
  <c r="AF10" i="5"/>
  <c r="AF8" i="5"/>
  <c r="AF2" i="5"/>
  <c r="AF19" i="5"/>
  <c r="AF14" i="5"/>
  <c r="AF16" i="5"/>
  <c r="AF13" i="5"/>
  <c r="AF6" i="5"/>
  <c r="AF15" i="5"/>
  <c r="AF21" i="5"/>
  <c r="AF11" i="5"/>
  <c r="AF9" i="5"/>
  <c r="AF5" i="5"/>
  <c r="AF24" i="5"/>
  <c r="AF22" i="5"/>
  <c r="AF17" i="5"/>
  <c r="AF12" i="5"/>
  <c r="AF4" i="5"/>
  <c r="AE23" i="5"/>
  <c r="AE26" i="5" s="1"/>
  <c r="AF23" i="5" l="1"/>
  <c r="AF26" i="5" s="1"/>
  <c r="AG17" i="5"/>
  <c r="AG16" i="5"/>
  <c r="AG12" i="5"/>
  <c r="AG6" i="5"/>
  <c r="AG2" i="5"/>
  <c r="AG18" i="5"/>
  <c r="AG19" i="5"/>
  <c r="AG13" i="5"/>
  <c r="AG11" i="5"/>
  <c r="AG4" i="5"/>
  <c r="AG24" i="5"/>
  <c r="AG21" i="5"/>
  <c r="AG15" i="5"/>
  <c r="AG9" i="5"/>
  <c r="AG7" i="5"/>
  <c r="AG8" i="5"/>
  <c r="AH3" i="5"/>
  <c r="AG22" i="5"/>
  <c r="AG20" i="5"/>
  <c r="AG10" i="5"/>
  <c r="AG14" i="5"/>
  <c r="AG5" i="5"/>
  <c r="AG23" i="5" l="1"/>
  <c r="AG26" i="5" s="1"/>
  <c r="AH16" i="5"/>
  <c r="AH13" i="5"/>
  <c r="AH14" i="5"/>
  <c r="AH5" i="5"/>
  <c r="AH2" i="5"/>
  <c r="AH21" i="5"/>
  <c r="AH19" i="5"/>
  <c r="AH9" i="5"/>
  <c r="AH11" i="5"/>
  <c r="AH4" i="5"/>
  <c r="AH24" i="5"/>
  <c r="AI3" i="5"/>
  <c r="AH17" i="5"/>
  <c r="AH22" i="5"/>
  <c r="AH12" i="5"/>
  <c r="AH15" i="5"/>
  <c r="AH7" i="5"/>
  <c r="AH20" i="5"/>
  <c r="AH18" i="5"/>
  <c r="AH8" i="5"/>
  <c r="AH10" i="5"/>
  <c r="AH6" i="5"/>
  <c r="AH23" i="5" l="1"/>
  <c r="AH26" i="5" s="1"/>
  <c r="AI20" i="5"/>
  <c r="AI22" i="5"/>
  <c r="AI12" i="5"/>
  <c r="AI7" i="5"/>
  <c r="AI4" i="5"/>
  <c r="AI24" i="5"/>
  <c r="AJ3" i="5"/>
  <c r="AI16" i="5"/>
  <c r="AI18" i="5"/>
  <c r="AI8" i="5"/>
  <c r="AI10" i="5"/>
  <c r="AI6" i="5"/>
  <c r="AI15" i="5"/>
  <c r="AI17" i="5"/>
  <c r="AI11" i="5"/>
  <c r="AI9" i="5"/>
  <c r="AI2" i="5"/>
  <c r="AI19" i="5"/>
  <c r="AI21" i="5"/>
  <c r="AI14" i="5"/>
  <c r="AI13" i="5"/>
  <c r="AI5" i="5"/>
  <c r="AJ18" i="5" l="1"/>
  <c r="AJ20" i="5"/>
  <c r="AJ10" i="5"/>
  <c r="AJ8" i="5"/>
  <c r="AK3" i="5"/>
  <c r="AJ19" i="5"/>
  <c r="AJ14" i="5"/>
  <c r="AJ16" i="5"/>
  <c r="AJ13" i="5"/>
  <c r="AJ6" i="5"/>
  <c r="AJ27" i="5"/>
  <c r="AJ2" i="5"/>
  <c r="AJ15" i="5"/>
  <c r="AJ21" i="5"/>
  <c r="AJ11" i="5"/>
  <c r="AJ9" i="5"/>
  <c r="AJ5" i="5"/>
  <c r="AJ26" i="5"/>
  <c r="AJ22" i="5"/>
  <c r="AJ17" i="5"/>
  <c r="AJ7" i="5"/>
  <c r="AJ12" i="5"/>
  <c r="AJ4" i="5"/>
  <c r="AJ24" i="5"/>
  <c r="AI23" i="5"/>
  <c r="AI26" i="5" s="1"/>
  <c r="AJ23" i="5" l="1"/>
  <c r="AK17" i="5"/>
  <c r="AK14" i="5"/>
  <c r="AK12" i="5"/>
  <c r="AK6" i="5"/>
  <c r="AL3" i="5"/>
  <c r="AK22" i="5"/>
  <c r="AK20" i="5"/>
  <c r="AK10" i="5"/>
  <c r="AK16" i="5"/>
  <c r="AK5" i="5"/>
  <c r="AK27" i="5"/>
  <c r="AK2" i="5"/>
  <c r="AK21" i="5"/>
  <c r="AK15" i="5"/>
  <c r="AK9" i="5"/>
  <c r="AK7" i="5"/>
  <c r="AK8" i="5"/>
  <c r="AK24" i="5"/>
  <c r="AK18" i="5"/>
  <c r="AK19" i="5"/>
  <c r="AK13" i="5"/>
  <c r="AK11" i="5"/>
  <c r="AK4" i="5"/>
  <c r="AK26" i="5"/>
  <c r="AK23" i="5" l="1"/>
  <c r="AL16" i="5"/>
  <c r="AL13" i="5"/>
  <c r="AL15" i="5"/>
  <c r="AL5" i="5"/>
  <c r="AL24" i="5"/>
  <c r="AL2" i="5"/>
  <c r="AL21" i="5"/>
  <c r="AL19" i="5"/>
  <c r="AL9" i="5"/>
  <c r="AL11" i="5"/>
  <c r="AL7" i="5"/>
  <c r="AL27" i="5"/>
  <c r="AL17" i="5"/>
  <c r="AL22" i="5"/>
  <c r="AL12" i="5"/>
  <c r="AL14" i="5"/>
  <c r="AL26" i="5"/>
  <c r="AL4" i="5"/>
  <c r="AL20" i="5"/>
  <c r="AL18" i="5"/>
  <c r="AL8" i="5"/>
  <c r="AL10" i="5"/>
  <c r="AL6" i="5"/>
  <c r="AM3" i="5"/>
  <c r="AM15" i="5" l="1"/>
  <c r="AM17" i="5"/>
  <c r="AM7" i="5"/>
  <c r="AM9" i="5"/>
  <c r="AM2" i="5"/>
  <c r="AM20" i="5"/>
  <c r="AM22" i="5"/>
  <c r="AM12" i="5"/>
  <c r="AM14" i="5"/>
  <c r="AM4" i="5"/>
  <c r="AM27" i="5"/>
  <c r="AN3" i="5"/>
  <c r="AM16" i="5"/>
  <c r="AM18" i="5"/>
  <c r="AM8" i="5"/>
  <c r="AM10" i="5"/>
  <c r="AM6" i="5"/>
  <c r="AM26" i="5"/>
  <c r="AM19" i="5"/>
  <c r="AM21" i="5"/>
  <c r="AM11" i="5"/>
  <c r="AM13" i="5"/>
  <c r="AM5" i="5"/>
  <c r="AM24" i="5"/>
  <c r="AL23" i="5"/>
  <c r="AN18" i="5" l="1"/>
  <c r="AN20" i="5"/>
  <c r="AN10" i="5"/>
  <c r="AN8" i="5"/>
  <c r="AN27" i="5"/>
  <c r="AN2" i="5"/>
  <c r="AN19" i="5"/>
  <c r="AN14" i="5"/>
  <c r="AN16" i="5"/>
  <c r="AN13" i="5"/>
  <c r="AN6" i="5"/>
  <c r="AN26" i="5"/>
  <c r="AN15" i="5"/>
  <c r="AN21" i="5"/>
  <c r="AN11" i="5"/>
  <c r="AN9" i="5"/>
  <c r="AN5" i="5"/>
  <c r="AN24" i="5"/>
  <c r="AN22" i="5"/>
  <c r="AN17" i="5"/>
  <c r="AN7" i="5"/>
  <c r="AN12" i="5"/>
  <c r="AN4" i="5"/>
  <c r="AO3" i="5"/>
  <c r="AM23" i="5"/>
  <c r="AN23" i="5" l="1"/>
  <c r="AO17" i="5"/>
  <c r="AO10" i="5"/>
  <c r="AO16" i="5"/>
  <c r="AO6" i="5"/>
  <c r="AP3" i="5"/>
  <c r="AO22" i="5"/>
  <c r="AO20" i="5"/>
  <c r="AO14" i="5"/>
  <c r="AO12" i="5"/>
  <c r="AO8" i="5"/>
  <c r="AO27" i="5"/>
  <c r="AO2" i="5"/>
  <c r="AO18" i="5"/>
  <c r="AO19" i="5"/>
  <c r="AO13" i="5"/>
  <c r="AO11" i="5"/>
  <c r="AO5" i="5"/>
  <c r="AO26" i="5"/>
  <c r="AO21" i="5"/>
  <c r="AO15" i="5"/>
  <c r="AO9" i="5"/>
  <c r="AO7" i="5"/>
  <c r="AO4" i="5"/>
  <c r="AO24" i="5"/>
  <c r="AO23" i="5" l="1"/>
  <c r="AP21" i="5"/>
  <c r="AP19" i="5"/>
  <c r="AP13" i="5"/>
  <c r="AP8" i="5"/>
  <c r="AP5" i="5"/>
  <c r="AP24" i="5"/>
  <c r="AP2" i="5"/>
  <c r="AP20" i="5"/>
  <c r="AP18" i="5"/>
  <c r="AP15" i="5"/>
  <c r="AP10" i="5"/>
  <c r="AP6" i="5"/>
  <c r="AP26" i="5"/>
  <c r="AP16" i="5"/>
  <c r="AP14" i="5"/>
  <c r="AP12" i="5"/>
  <c r="AP7" i="5"/>
  <c r="AQ3" i="5"/>
  <c r="AP17" i="5"/>
  <c r="AP22" i="5"/>
  <c r="AP9" i="5"/>
  <c r="AP11" i="5"/>
  <c r="AP4" i="5"/>
  <c r="AP27" i="5"/>
  <c r="AP23" i="5" l="1"/>
  <c r="AQ15" i="5"/>
  <c r="C15" i="5" s="1"/>
  <c r="AQ17" i="5"/>
  <c r="C17" i="5" s="1"/>
  <c r="AQ7" i="5"/>
  <c r="C7" i="5" s="1"/>
  <c r="AQ9" i="5"/>
  <c r="C9" i="5" s="1"/>
  <c r="AQ20" i="5"/>
  <c r="C20" i="5" s="1"/>
  <c r="AQ22" i="5"/>
  <c r="C22" i="5" s="1"/>
  <c r="AQ12" i="5"/>
  <c r="C12" i="5" s="1"/>
  <c r="AQ10" i="5"/>
  <c r="C10" i="5" s="1"/>
  <c r="AQ4" i="5"/>
  <c r="C4" i="5" s="1"/>
  <c r="AQ27" i="5"/>
  <c r="AQ2" i="5"/>
  <c r="AQ19" i="5"/>
  <c r="C19" i="5" s="1"/>
  <c r="AQ21" i="5"/>
  <c r="C21" i="5" s="1"/>
  <c r="AQ11" i="5"/>
  <c r="C11" i="5" s="1"/>
  <c r="AQ13" i="5"/>
  <c r="C13" i="5" s="1"/>
  <c r="AQ5" i="5"/>
  <c r="C5" i="5" s="1"/>
  <c r="AQ24" i="5"/>
  <c r="AQ16" i="5"/>
  <c r="C16" i="5" s="1"/>
  <c r="AQ18" i="5"/>
  <c r="C18" i="5" s="1"/>
  <c r="AQ8" i="5"/>
  <c r="C8" i="5" s="1"/>
  <c r="AQ14" i="5"/>
  <c r="C14" i="5" s="1"/>
  <c r="AQ6" i="5"/>
  <c r="AQ23" i="5" l="1"/>
  <c r="AQ26" i="5" s="1"/>
  <c r="C26" i="5" s="1"/>
  <c r="C6" i="5"/>
  <c r="C23" i="5" s="1"/>
  <c r="D27" i="5" s="1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AC27" i="5" s="1"/>
  <c r="AD27" i="5" s="1"/>
  <c r="AE27" i="5" s="1"/>
  <c r="AF27" i="5" s="1"/>
  <c r="AG27" i="5" s="1"/>
  <c r="AH27" i="5" s="1"/>
  <c r="AI27" i="5" s="1"/>
</calcChain>
</file>

<file path=xl/sharedStrings.xml><?xml version="1.0" encoding="utf-8"?>
<sst xmlns="http://schemas.openxmlformats.org/spreadsheetml/2006/main" count="1050" uniqueCount="482">
  <si>
    <t>Kentallen voor de materiaalcommisaris van een roeivereniging</t>
  </si>
  <si>
    <t>Deze sheet helpt de materiaalcommissaris van een roeivereniging door de kenmerken van zijn vloot op heel eenvoudige wijze te vertalen in kentallen.</t>
  </si>
  <si>
    <t>Ook kan een vlootplan en investeringsprognose worden gemaaakt. De kentallen geven vervolgens inzicht in de kenmerken en gezondheid van zijn vloot.</t>
  </si>
  <si>
    <t>Daarnaast kan de vloot van een roeivereniging op deze wijze vergeleken worden met vloten van andere verenigingen, ook als die veel groter of kleiner zijn.</t>
  </si>
  <si>
    <t>Aarzel daarom niet om deze sheet door te sturen naar bevriende materiaalcommissarissen: hoe meer deelnemers, hoe beter de vergelijking!</t>
  </si>
  <si>
    <t>Een eenvoudig vlootoverzicht volstaat om de belangrijkste kentallen te berekenen. Een beknopte handleiding is hieronder gegeven.</t>
  </si>
  <si>
    <t>Eenvoudig uw eigen vlootkentallen laten berekenen</t>
  </si>
  <si>
    <t>Om de kentallen voor uw eigen vereniging te laten berekenen, neemt u de volgende stappen:</t>
  </si>
  <si>
    <r>
      <t xml:space="preserve">Zorg dat u uw eigen vlootoverzicht in een Excel-sheet hebt met de </t>
    </r>
    <r>
      <rPr>
        <b/>
        <sz val="11"/>
        <rFont val="Calibri"/>
        <family val="2"/>
        <scheme val="minor"/>
      </rPr>
      <t>naam,</t>
    </r>
    <r>
      <rPr>
        <sz val="11"/>
        <rFont val="Calibri"/>
        <family val="2"/>
        <scheme val="minor"/>
      </rPr>
      <t xml:space="preserve"> het </t>
    </r>
    <r>
      <rPr>
        <b/>
        <sz val="11"/>
        <rFont val="Calibri"/>
        <family val="2"/>
        <scheme val="minor"/>
      </rPr>
      <t>type</t>
    </r>
    <r>
      <rPr>
        <sz val="11"/>
        <rFont val="Calibri"/>
        <family val="2"/>
        <scheme val="minor"/>
      </rPr>
      <t xml:space="preserve"> (1x, 2x, etc) en het </t>
    </r>
    <r>
      <rPr>
        <b/>
        <sz val="11"/>
        <rFont val="Calibri"/>
        <family val="2"/>
        <scheme val="minor"/>
      </rPr>
      <t>bouwjaar</t>
    </r>
    <r>
      <rPr>
        <sz val="11"/>
        <rFont val="Calibri"/>
        <family val="2"/>
        <scheme val="minor"/>
      </rPr>
      <t xml:space="preserve"> van de boten in uw vloot.</t>
    </r>
  </si>
  <si>
    <r>
      <t xml:space="preserve">Haal onder de tab </t>
    </r>
    <r>
      <rPr>
        <b/>
        <sz val="11"/>
        <rFont val="Calibri"/>
        <family val="2"/>
        <scheme val="minor"/>
      </rPr>
      <t>Hulptabel</t>
    </r>
    <r>
      <rPr>
        <sz val="11"/>
        <rFont val="Calibri"/>
        <family val="2"/>
        <scheme val="minor"/>
      </rPr>
      <t xml:space="preserve"> de </t>
    </r>
    <r>
      <rPr>
        <sz val="11"/>
        <color rgb="FF0070C0"/>
        <rFont val="Calibri"/>
        <family val="2"/>
        <scheme val="minor"/>
      </rPr>
      <t>lichtblauwe</t>
    </r>
    <r>
      <rPr>
        <sz val="11"/>
        <rFont val="Calibri"/>
        <family val="2"/>
        <scheme val="minor"/>
      </rPr>
      <t xml:space="preserve"> voorbeeldgegevens van boten in rij 1 tot en met 66 weg. De </t>
    </r>
    <r>
      <rPr>
        <sz val="11"/>
        <color theme="3"/>
        <rFont val="Calibri"/>
        <family val="2"/>
        <scheme val="minor"/>
      </rPr>
      <t>donkerblauwe</t>
    </r>
    <r>
      <rPr>
        <sz val="11"/>
        <rFont val="Calibri"/>
        <family val="2"/>
        <scheme val="minor"/>
      </rPr>
      <t xml:space="preserve"> velden bevatten formules die</t>
    </r>
  </si>
  <si>
    <t xml:space="preserve">een waarde berekenen. Deze moet u laten staan. </t>
  </si>
  <si>
    <t>Kopieer de waarden uit uw eigen vlootoverzicht in de gelijknamige kolommen van de hulptabel (Copy, Paste Values).</t>
  </si>
  <si>
    <t>4*</t>
  </si>
  <si>
    <t>Check of de standaard vervangingswaarden in de gelijknamige tabel  kloppen, voeg zo nodig typen toe en pas de vervangingswaarde aan.</t>
  </si>
  <si>
    <t>Gebruik voor de prijzen de vervangingswaarde van de boot: de huidige aankoopprijs van een vervangende boot zonder riemen.</t>
  </si>
  <si>
    <t>5*</t>
  </si>
  <si>
    <t xml:space="preserve">Voeg - indien beschikbaar - de afschrijvingen (aantal sorties van een boot per jaar) in de gelijknamige kolom toe. </t>
  </si>
  <si>
    <t>Gebruik voor het aantal sorties de getallen van afgelopen jaar of extrapoleer naar een volledig kalenderjaar.</t>
  </si>
  <si>
    <r>
      <t xml:space="preserve">In de kolom </t>
    </r>
    <r>
      <rPr>
        <b/>
        <sz val="11"/>
        <rFont val="Calibri"/>
        <family val="2"/>
        <scheme val="minor"/>
      </rPr>
      <t>Handmatig</t>
    </r>
    <r>
      <rPr>
        <sz val="11"/>
        <rFont val="Calibri"/>
        <family val="2"/>
        <scheme val="minor"/>
      </rPr>
      <t xml:space="preserve"> onder de tab </t>
    </r>
    <r>
      <rPr>
        <b/>
        <sz val="11"/>
        <rFont val="Calibri"/>
        <family val="2"/>
        <scheme val="minor"/>
      </rPr>
      <t>Kentallen</t>
    </r>
    <r>
      <rPr>
        <sz val="11"/>
        <rFont val="Calibri"/>
        <family val="2"/>
        <scheme val="minor"/>
      </rPr>
      <t xml:space="preserve"> kunt u uitproberen wat aangepaste waarden met de kentallen doen.</t>
    </r>
  </si>
  <si>
    <t>*U kunt er ook voor kiezen om de vervangingswaarde direkt achter de boot in de prijskolom op te nemen. Dit doet u door de formule te vervangen door een waarde.</t>
  </si>
  <si>
    <t>Uw eigen vloot gebenchmarkt tegen vloten van andere verenigingen</t>
  </si>
  <si>
    <t>Om er voor te zorgen dat u uw eigen vloot kan benchmarken met die van andere verenigingen volgt u de volgende stappen:</t>
  </si>
  <si>
    <r>
      <t>Vul - de informatie beschikbaar is - in de excel sheet in. Mail het Excel</t>
    </r>
    <r>
      <rPr>
        <sz val="11"/>
        <rFont val="Calibri"/>
        <family val="2"/>
      </rPr>
      <t xml:space="preserve"> bestand naar </t>
    </r>
    <r>
      <rPr>
        <b/>
        <sz val="11"/>
        <rFont val="Calibri"/>
        <family val="2"/>
      </rPr>
      <t>materiaal (at) roeinaarden (punt) nl</t>
    </r>
    <r>
      <rPr>
        <sz val="11"/>
        <rFont val="Calibri"/>
        <family val="2"/>
      </rPr>
      <t>.</t>
    </r>
  </si>
  <si>
    <t xml:space="preserve">Met het insturen van de gegevens geeft u uitdrukkelijk toestemming om uw gegevens in de benchmark te gebruiken en </t>
  </si>
  <si>
    <t>aan andere verenigingen ter beschikking te stellen. Voor wat hoort wat, toch?</t>
  </si>
  <si>
    <t>Ik voeg uw vereniging aan de benchmark toe en mail deze naar u terug.  U kunt dan uw vloot met die van andere verenigingen vergelijken.</t>
  </si>
  <si>
    <t>Extra: eenvoudig uw eigen vlootplan op 1 A4-tje</t>
  </si>
  <si>
    <t>1.</t>
  </si>
  <si>
    <t>wedstrijdboten;</t>
  </si>
  <si>
    <t>2.</t>
  </si>
  <si>
    <t>boten in de reguliere afschrijving;</t>
  </si>
  <si>
    <t>3.</t>
  </si>
  <si>
    <t>instructieboten, waarin zonder bevoegdheden geroeid mag worden zolang de instructeur/coach meevaart of meefietst.</t>
  </si>
  <si>
    <t>Daarna kunnen de gladde boten worden ingedeeld in viergewichtsklassen, namelijk boten:</t>
  </si>
  <si>
    <t>a.</t>
  </si>
  <si>
    <t>met een maximaal roeiersgewicht van 95+ kg;</t>
  </si>
  <si>
    <t>b.</t>
  </si>
  <si>
    <t>met een maximaal roeiersgewicht van 85 kg;</t>
  </si>
  <si>
    <t>c.</t>
  </si>
  <si>
    <t>met een maximaal roeiersgewicht van 75 kg;</t>
  </si>
  <si>
    <t>d.</t>
  </si>
  <si>
    <t>met een maximaal roeiersgewicht van 65 kg.</t>
  </si>
  <si>
    <t xml:space="preserve">Samen geeft dit twaalf groepen van 1a t/m 3d. </t>
  </si>
  <si>
    <r>
      <t xml:space="preserve">Door in de kolom </t>
    </r>
    <r>
      <rPr>
        <b/>
        <sz val="11"/>
        <rFont val="Calibri"/>
        <family val="2"/>
        <scheme val="minor"/>
      </rPr>
      <t>Plan</t>
    </r>
    <r>
      <rPr>
        <sz val="11"/>
        <rFont val="Calibri"/>
        <family val="2"/>
        <scheme val="minor"/>
      </rPr>
      <t xml:space="preserve"> onder de tab </t>
    </r>
    <r>
      <rPr>
        <b/>
        <sz val="11"/>
        <rFont val="Calibri"/>
        <family val="2"/>
        <scheme val="minor"/>
      </rPr>
      <t>Hulptabel</t>
    </r>
    <r>
      <rPr>
        <sz val="11"/>
        <rFont val="Calibri"/>
        <family val="2"/>
        <scheme val="minor"/>
      </rPr>
      <t xml:space="preserve"> elke boot aan een groep toe te wijzen, ontstaat automatisch het vlootplan*</t>
    </r>
  </si>
  <si>
    <t>Naast het vlootplan worden respectievelijk getoond:</t>
  </si>
  <si>
    <t>Een overzicht hoe de vloot er uit zou zien wanneer elke boot even vaak werd afgeschreven.</t>
  </si>
  <si>
    <t>Omdat elke boot niet even vaak wordt afgeschreven en er per boot een tot en met acht leden roeien, wordt aangegeven welk belang deze boot heeft voor</t>
  </si>
  <si>
    <t>Het aantal ledensorties (afschrijving*roeiplekken) voor de verschillende boten.</t>
  </si>
  <si>
    <t>*Oude versies van Excel ondersteunen deze functionaliteit niet.</t>
  </si>
  <si>
    <t>Extra:  hoeveel geld moet ik welk jaar reserveren (investeringsprognose)</t>
  </si>
  <si>
    <r>
      <t xml:space="preserve">Door de jaren in de kolom </t>
    </r>
    <r>
      <rPr>
        <b/>
        <sz val="11"/>
        <rFont val="Calibri"/>
        <family val="2"/>
        <scheme val="minor"/>
      </rPr>
      <t>Vervang</t>
    </r>
    <r>
      <rPr>
        <sz val="11"/>
        <rFont val="Calibri"/>
        <family val="2"/>
        <scheme val="minor"/>
      </rPr>
      <t xml:space="preserve"> onder de tab </t>
    </r>
    <r>
      <rPr>
        <b/>
        <sz val="11"/>
        <rFont val="Calibri"/>
        <family val="2"/>
        <scheme val="minor"/>
      </rPr>
      <t>Hulptabel</t>
    </r>
    <r>
      <rPr>
        <sz val="11"/>
        <rFont val="Calibri"/>
        <family val="2"/>
        <scheme val="minor"/>
      </rPr>
      <t xml:space="preserve"> aan te passen, kan de aanschaf van een boot naar voren of naar achteren worden geschoven.</t>
    </r>
  </si>
  <si>
    <t>Invoervelden</t>
  </si>
  <si>
    <t>Handmatig</t>
  </si>
  <si>
    <t>Via hulptabel</t>
  </si>
  <si>
    <t>Toelichting</t>
  </si>
  <si>
    <t>Betekenis</t>
  </si>
  <si>
    <t>a</t>
  </si>
  <si>
    <t>Naam roeivereniging</t>
  </si>
  <si>
    <t>RV Naarden</t>
  </si>
  <si>
    <t>Geef de naam van uw vereniging. Vul anoniem in, wanneer uw uw bijdrage anoniem wilt houden</t>
  </si>
  <si>
    <t>b</t>
  </si>
  <si>
    <t>Peiljaar</t>
  </si>
  <si>
    <t>Het jaar waarop deze kentallen betrekking hebben</t>
  </si>
  <si>
    <t>c</t>
  </si>
  <si>
    <t>Invoerdatum</t>
  </si>
  <si>
    <t>Datum waarop deze sheet is ingevuld</t>
  </si>
  <si>
    <t>d</t>
  </si>
  <si>
    <t>Soort vereniging</t>
  </si>
  <si>
    <t>Studentenvereniging of burgervereniging</t>
  </si>
  <si>
    <t>e</t>
  </si>
  <si>
    <t>Aantal leden</t>
  </si>
  <si>
    <t>Aantal roeiende leden</t>
  </si>
  <si>
    <t>f</t>
  </si>
  <si>
    <t>Jaarlijks aanschafbudget</t>
  </si>
  <si>
    <t>Jaarlijks budget voor de aanschaf van boten (excl. onderhoud)</t>
  </si>
  <si>
    <t>g</t>
  </si>
  <si>
    <t>Vervangingswaarde aanschaf</t>
  </si>
  <si>
    <t>Vervangingswaarde van de boten die dit in het peiljaar zijn aangeschaft</t>
  </si>
  <si>
    <t>h</t>
  </si>
  <si>
    <t>Aantal boten:</t>
  </si>
  <si>
    <t>Aantal roeiboten in de vloot voor algemeen gebruik (geen priveboten)</t>
  </si>
  <si>
    <t>i</t>
  </si>
  <si>
    <t>Aantal roeiplekken:</t>
  </si>
  <si>
    <t>Aantal roeiplekken in deze vloot</t>
  </si>
  <si>
    <t>j</t>
  </si>
  <si>
    <t>- waarvan scullplekken</t>
  </si>
  <si>
    <t>Aantal scull roeiplekken in deze vloot.</t>
  </si>
  <si>
    <t>k</t>
  </si>
  <si>
    <t>- waarvan boordplekken</t>
  </si>
  <si>
    <t>Aantal boordroeiplekken in deze vloot.</t>
  </si>
  <si>
    <t>l</t>
  </si>
  <si>
    <t>* waarvan glad</t>
  </si>
  <si>
    <t>Aantal gladde roeiplekken in deze vloot.</t>
  </si>
  <si>
    <t>m</t>
  </si>
  <si>
    <t>* waarvan c-boten</t>
  </si>
  <si>
    <t>Aantal C-boot roeiplekken in deze vloot.</t>
  </si>
  <si>
    <t>n</t>
  </si>
  <si>
    <t>* waarvan wherries</t>
  </si>
  <si>
    <t>Aantal wherrie roeiplekken in deze vloot.</t>
  </si>
  <si>
    <t>o</t>
  </si>
  <si>
    <t>o waarvan wedstrijd</t>
  </si>
  <si>
    <t>Aantal wedstrijd roeiplekken</t>
  </si>
  <si>
    <t>p</t>
  </si>
  <si>
    <t>o waarvan afschrijving</t>
  </si>
  <si>
    <t>Aantal afschrijf roeiplekken</t>
  </si>
  <si>
    <t>q</t>
  </si>
  <si>
    <t>o waarvan instructie</t>
  </si>
  <si>
    <t>Aantal instructie roeiplekken</t>
  </si>
  <si>
    <t>r</t>
  </si>
  <si>
    <t>Vervangingswaarde vloot</t>
  </si>
  <si>
    <t>Getotaliseerde huidige aanschafprijs van alle boten inclusief riemen</t>
  </si>
  <si>
    <t>s</t>
  </si>
  <si>
    <t>Aantal afschrijvingen (per jaar)</t>
  </si>
  <si>
    <t>Aantal afschrijvingen (bootsorties) over een heel jaar</t>
  </si>
  <si>
    <t>t</t>
  </si>
  <si>
    <t>Leden roeisorties (per jaar)</t>
  </si>
  <si>
    <t>Aantal keren dat de leden geroeid hebben (bootsorties*roeiplekken)</t>
  </si>
  <si>
    <t>u</t>
  </si>
  <si>
    <t>Gemiddelde leeftijd boten</t>
  </si>
  <si>
    <t>Gemiddelde leeftijd van een boot in jaren</t>
  </si>
  <si>
    <t>Algemeen</t>
  </si>
  <si>
    <t>De naam van de vereniging</t>
  </si>
  <si>
    <t>Hoe groot de vereniging is</t>
  </si>
  <si>
    <t>De vloot kwantitatief</t>
  </si>
  <si>
    <t>De omvang van de vloot</t>
  </si>
  <si>
    <t>Aantal leden per roeiplek</t>
  </si>
  <si>
    <t>Aantal leden per beschikbare roeiplek.</t>
  </si>
  <si>
    <t>De mate waarin de boot kwantitatief toereikend is.</t>
  </si>
  <si>
    <t>De samenstelling van de vloot</t>
  </si>
  <si>
    <t>Opbouw vloot (roeiplekken):</t>
  </si>
  <si>
    <t>Aantal roeiplekken.</t>
  </si>
  <si>
    <t>- waarvan sculplekken</t>
  </si>
  <si>
    <t>Percentage scullplekken.</t>
  </si>
  <si>
    <t>Percentage boordroeiplekken.</t>
  </si>
  <si>
    <t>Percentage gladde plekken.</t>
  </si>
  <si>
    <t>Percentage C-boot plekken.</t>
  </si>
  <si>
    <t>Percentage wherrie plekken.</t>
  </si>
  <si>
    <t>Percentage wedstrijd roeiplekken.</t>
  </si>
  <si>
    <t>Percentage roeiplekken voor de afschrijving.</t>
  </si>
  <si>
    <t>Percentage instructie roeiplekken.</t>
  </si>
  <si>
    <t>De vloot kwalitatief</t>
  </si>
  <si>
    <t>Minimale levensduur</t>
  </si>
  <si>
    <t>Aantal jaren dat elke boot mee moet gaan, voordat geld voor vervanging beschikbaar is.</t>
  </si>
  <si>
    <t>Hoe lang elke boot moet meegaan</t>
  </si>
  <si>
    <t>Gewogen gemiddelde ouderdom</t>
  </si>
  <si>
    <t>-</t>
  </si>
  <si>
    <t>Ouderdom van de vloot waarbij boten evenredig naar vervangingswaarde bijdragen (ouderdom euro in de vloot)</t>
  </si>
  <si>
    <t>Ouderdom vanuit financieel perspectief.</t>
  </si>
  <si>
    <t>Gemiddelde vervangingswaarde</t>
  </si>
  <si>
    <t>Gemiddelde vervangingswaarde in euro's per boot.</t>
  </si>
  <si>
    <t>Of er dure of goedkope boten worden aangekocht.</t>
  </si>
  <si>
    <t>Gemiddelde prijs per roeiplek</t>
  </si>
  <si>
    <t>De vloot financieel</t>
  </si>
  <si>
    <t>Vervangingswaarde van alle boten in de vloot</t>
  </si>
  <si>
    <t>Wat het kost om de vloot opnieuw aan te schaffen</t>
  </si>
  <si>
    <t>Vervangingswaarde per lid</t>
  </si>
  <si>
    <t>Vervangingswaarde van de boten uitgedrukt in euro's per lid</t>
  </si>
  <si>
    <t xml:space="preserve">De omvang van de vloot </t>
  </si>
  <si>
    <t>Hoeveel geld er beschikbaar is voor de vervanging van boten</t>
  </si>
  <si>
    <t>Jaarbijdrage botenfonds per lid</t>
  </si>
  <si>
    <t>Bijdrage aan de aanschaf van boten in euro's per lid per jaar.</t>
  </si>
  <si>
    <t>De hoeveelheid geld die naar de aanschaf van boten gaat.</t>
  </si>
  <si>
    <t>Het gebruik van de vloot</t>
  </si>
  <si>
    <t>Jaargebruik per boot</t>
  </si>
  <si>
    <t>Gemiddeld aantal keren dat een boot jaarlijks vaart.</t>
  </si>
  <si>
    <t>De intensiteit van het vlootgebruik.</t>
  </si>
  <si>
    <t>Roeisorties per lid</t>
  </si>
  <si>
    <t>Gemiddeld aantal keren dat een lid jaarlijks roeit.</t>
  </si>
  <si>
    <t>De intensiteit waarmee leden roeien</t>
  </si>
  <si>
    <t>Sorties gedurende de levensduur</t>
  </si>
  <si>
    <t>Na hoeveel sorties wordt de gemiddelde boot  vervangen.</t>
  </si>
  <si>
    <t>Aanschaf dit jaar</t>
  </si>
  <si>
    <t>Vervangingssaldo vloot</t>
  </si>
  <si>
    <t>Boten die eerder vervangen worden, kosten geld (-). Boten die later vervangen worden leveren geld op (+). Dit is het saldo.</t>
  </si>
  <si>
    <t>De verlengde levensduur van boten financieel gemaakt. Is niet negatief, tenzij het vervangingsjaar wordt aangepast.</t>
  </si>
  <si>
    <t>Vervangingssaldo in jaren</t>
  </si>
  <si>
    <t>Bovengenoemd saldo uitgedrukt in jaren, gebaseerd op het jaarlijkse aanschafbudget.</t>
  </si>
  <si>
    <t>Winst in jaren - gegeven het jaarlijkse aanschafbudget - van de verlengde levensduur.</t>
  </si>
  <si>
    <t>Verjongingsfactor dit jaar</t>
  </si>
  <si>
    <t>Verjonging (-) ofveroudering (+) van de vloot na jaaraanschaf in maanden.</t>
  </si>
  <si>
    <t>Elk jaar wordt de vloot gemiddeld 1 jaar ouder. Hoeveel maanden zijn hier van over na aanschaf dit jaar.</t>
  </si>
  <si>
    <r>
      <t>N</t>
    </r>
    <r>
      <rPr>
        <b/>
        <sz val="9"/>
        <color indexed="8"/>
        <rFont val="Calibri"/>
        <family val="2"/>
      </rPr>
      <t>º</t>
    </r>
  </si>
  <si>
    <t>Plan</t>
  </si>
  <si>
    <t>Naam</t>
  </si>
  <si>
    <t>Type</t>
  </si>
  <si>
    <t>Bouwjaar</t>
  </si>
  <si>
    <t>Werf</t>
  </si>
  <si>
    <t>Afschrijvingen</t>
  </si>
  <si>
    <t>Verv. Prijs</t>
  </si>
  <si>
    <t>Vervang</t>
  </si>
  <si>
    <t>Vervangingswaarde</t>
  </si>
  <si>
    <t>Sculls</t>
  </si>
  <si>
    <t>Oars</t>
  </si>
  <si>
    <t>Oud</t>
  </si>
  <si>
    <t>Gewogen</t>
  </si>
  <si>
    <t>Roeipl.</t>
  </si>
  <si>
    <t>Roeisort.</t>
  </si>
  <si>
    <t>Glad</t>
  </si>
  <si>
    <t>C-boot</t>
  </si>
  <si>
    <t>Wherry</t>
  </si>
  <si>
    <t>Wedstrijd</t>
  </si>
  <si>
    <t>Afschrijving</t>
  </si>
  <si>
    <t>Instructie</t>
  </si>
  <si>
    <t>Waarde</t>
  </si>
  <si>
    <t>Saldo</t>
  </si>
  <si>
    <t>2b</t>
  </si>
  <si>
    <t>Ad Storm v.L.</t>
  </si>
  <si>
    <t>4+</t>
  </si>
  <si>
    <t>High-end</t>
  </si>
  <si>
    <t>Prijs paar sculls</t>
  </si>
  <si>
    <t>Prijs van 1 paar sculls (twee riemen)</t>
  </si>
  <si>
    <t>2a</t>
  </si>
  <si>
    <t>Affuit</t>
  </si>
  <si>
    <t>1x</t>
  </si>
  <si>
    <t>Low-end</t>
  </si>
  <si>
    <t>Prijs boordriem</t>
  </si>
  <si>
    <t>Prijs van een boordriem</t>
  </si>
  <si>
    <t>1d</t>
  </si>
  <si>
    <t>Ballista</t>
  </si>
  <si>
    <t>2x</t>
  </si>
  <si>
    <t>Alle boten</t>
  </si>
  <si>
    <t>Vervangingswaarde van de boten</t>
  </si>
  <si>
    <t>Bever</t>
  </si>
  <si>
    <t>C4+</t>
  </si>
  <si>
    <t>Alle sculls</t>
  </si>
  <si>
    <t>Vervangingswaarde alle sculls</t>
  </si>
  <si>
    <t>1b</t>
  </si>
  <si>
    <t>Bonnet</t>
  </si>
  <si>
    <t>Alle boordriemen</t>
  </si>
  <si>
    <t>Vervangingswaarde alle boordriemen</t>
  </si>
  <si>
    <t>3d</t>
  </si>
  <si>
    <t>Bulletje</t>
  </si>
  <si>
    <t>Het jaar waarop dit overzicht betrekking heeft</t>
  </si>
  <si>
    <t>1c</t>
  </si>
  <si>
    <t>Carapace</t>
  </si>
  <si>
    <t>Levensduur</t>
  </si>
  <si>
    <t>Het aantal jaren dat een boot mee moet</t>
  </si>
  <si>
    <t>3c</t>
  </si>
  <si>
    <t>Courtine</t>
  </si>
  <si>
    <t>Cunette</t>
  </si>
  <si>
    <t>Kentallen ten behoeve van tab 1</t>
  </si>
  <si>
    <t>Dubbelhaak</t>
  </si>
  <si>
    <t>4x+</t>
  </si>
  <si>
    <t>Aantal boten</t>
  </si>
  <si>
    <t>Aantal roeiboten in de vloot.</t>
  </si>
  <si>
    <t>Elft</t>
  </si>
  <si>
    <t>Aantal roeiplekken</t>
  </si>
  <si>
    <t>Aantal roeiplekken in de vloot.</t>
  </si>
  <si>
    <t>Escarp</t>
  </si>
  <si>
    <t>Aantal scull roeiplekken in de vloot.</t>
  </si>
  <si>
    <t>Flank</t>
  </si>
  <si>
    <t>Aantal boordroeiplekken in de vloot.</t>
  </si>
  <si>
    <t>2c</t>
  </si>
  <si>
    <t>Flip II</t>
  </si>
  <si>
    <t>Aantal gladde roeiplekken in de vloot.</t>
  </si>
  <si>
    <t>G.W. Boot</t>
  </si>
  <si>
    <t>Aantal C-boot roeiplekken in de vloot.</t>
  </si>
  <si>
    <t>Ganzerik</t>
  </si>
  <si>
    <t>W2x+</t>
  </si>
  <si>
    <t>Aantal wherrie roeiplekken in de vloot.</t>
  </si>
  <si>
    <t>Giebel</t>
  </si>
  <si>
    <t>Gladius</t>
  </si>
  <si>
    <t>3b</t>
  </si>
  <si>
    <t>Goedendag</t>
  </si>
  <si>
    <t>Grondel</t>
  </si>
  <si>
    <t>Haakbus</t>
  </si>
  <si>
    <t>Aantal afschrijvingen</t>
  </si>
  <si>
    <t>Aantal keren dat boten per jaar op het water zijn.</t>
  </si>
  <si>
    <t>Hartsvanger</t>
  </si>
  <si>
    <t>Gemiddelde leeftijd van de boot in jaren.</t>
  </si>
  <si>
    <t>Hecht</t>
  </si>
  <si>
    <t>8+</t>
  </si>
  <si>
    <t>Gewogen gemiddelde leeftijd</t>
  </si>
  <si>
    <t>Gewogen gemiddelde leeftijd van de boot in jaren.</t>
  </si>
  <si>
    <t>Hellebaard</t>
  </si>
  <si>
    <t>Aantal leden roeisorties</t>
  </si>
  <si>
    <t xml:space="preserve">Aantal keren dat alle leden geroeid hebben. </t>
  </si>
  <si>
    <t>Huizer Poort</t>
  </si>
  <si>
    <t>C4x+</t>
  </si>
  <si>
    <t>Karekiet</t>
  </si>
  <si>
    <t>W1x+</t>
  </si>
  <si>
    <t>Vervangingswaarde boten exclusief riemen</t>
  </si>
  <si>
    <t>&lt;-Gebruik deze tabel om de vervangings-</t>
  </si>
  <si>
    <t>Katapult</t>
  </si>
  <si>
    <t>Zoeksleutel</t>
  </si>
  <si>
    <t>Prijs</t>
  </si>
  <si>
    <t>waarde van de boten eenmaal in te geven.</t>
  </si>
  <si>
    <t>Knobbelzwaan</t>
  </si>
  <si>
    <t>Empacher</t>
  </si>
  <si>
    <t>U kunt er ook voor kiezen om de</t>
  </si>
  <si>
    <t>Lunet</t>
  </si>
  <si>
    <t>C2x+</t>
  </si>
  <si>
    <t>Filippi</t>
  </si>
  <si>
    <t>vervangingswaarde direct achter de boot</t>
  </si>
  <si>
    <t>Morgenster</t>
  </si>
  <si>
    <r>
      <t xml:space="preserve">in de kolom </t>
    </r>
    <r>
      <rPr>
        <b/>
        <sz val="11"/>
        <color rgb="FFFF0000"/>
        <rFont val="Calibri"/>
        <family val="2"/>
        <scheme val="minor"/>
      </rPr>
      <t>Verv. Prijs</t>
    </r>
    <r>
      <rPr>
        <sz val="11"/>
        <color rgb="FFFF0000"/>
        <rFont val="Calibri"/>
        <family val="2"/>
        <scheme val="minor"/>
      </rPr>
      <t xml:space="preserve"> in te voeren</t>
    </r>
  </si>
  <si>
    <t>3a</t>
  </si>
  <si>
    <t>Oostbeer</t>
  </si>
  <si>
    <t>Piet Muller</t>
  </si>
  <si>
    <t>Plevier</t>
  </si>
  <si>
    <t>C1x</t>
  </si>
  <si>
    <t>Poterne</t>
  </si>
  <si>
    <t>Prik</t>
  </si>
  <si>
    <t>Promers</t>
  </si>
  <si>
    <t>4-</t>
  </si>
  <si>
    <t>Pulver</t>
  </si>
  <si>
    <t>Ral</t>
  </si>
  <si>
    <t>Ravelijn</t>
  </si>
  <si>
    <t>Redoute</t>
  </si>
  <si>
    <t>Rondeel</t>
  </si>
  <si>
    <t>C2x</t>
  </si>
  <si>
    <t>Saillant</t>
  </si>
  <si>
    <t>Saker</t>
  </si>
  <si>
    <t xml:space="preserve">Smient </t>
  </si>
  <si>
    <t>2+</t>
  </si>
  <si>
    <t>Sneep</t>
  </si>
  <si>
    <t>Snoek</t>
  </si>
  <si>
    <t>Spiering</t>
  </si>
  <si>
    <t>Ster van Naarden</t>
  </si>
  <si>
    <t>2-</t>
  </si>
  <si>
    <t>Sterlet</t>
  </si>
  <si>
    <t xml:space="preserve">Steur </t>
  </si>
  <si>
    <t>Stilet</t>
  </si>
  <si>
    <t>Stormpot</t>
  </si>
  <si>
    <t>Synergie</t>
  </si>
  <si>
    <t>Taling</t>
  </si>
  <si>
    <t>Talud</t>
  </si>
  <si>
    <t>C2+</t>
  </si>
  <si>
    <t>Topper</t>
  </si>
  <si>
    <t>2x/-</t>
  </si>
  <si>
    <t>Travers</t>
  </si>
  <si>
    <t>Utrechtsche poort</t>
  </si>
  <si>
    <t>Vesting Naarden</t>
  </si>
  <si>
    <t>Vetje</t>
  </si>
  <si>
    <t>Walbus</t>
  </si>
  <si>
    <t>Westbeer</t>
  </si>
  <si>
    <t>Wilde zwaan</t>
  </si>
  <si>
    <t>Winde</t>
  </si>
  <si>
    <t>Oefen</t>
  </si>
  <si>
    <t>Wulp</t>
  </si>
  <si>
    <t>Zilver reiger</t>
  </si>
  <si>
    <t>W4+</t>
  </si>
  <si>
    <t>W2+</t>
  </si>
  <si>
    <t>O4+</t>
  </si>
  <si>
    <t>Overnaads</t>
  </si>
  <si>
    <t>O2+</t>
  </si>
  <si>
    <t>B4+</t>
  </si>
  <si>
    <t>B-boot</t>
  </si>
  <si>
    <t>Aantallen boten</t>
  </si>
  <si>
    <t>Hoe zou de vloot moeten worden aangepast opdat elke boot even vaak wordt afgeschreven (+ boten er bij, -boten er af).</t>
  </si>
  <si>
    <t>Gebruik van de vloot door leden: waar roeien de leden graag in (aantal afschrijvingen * roeiplekken)</t>
  </si>
  <si>
    <t>Max kg</t>
  </si>
  <si>
    <t>4x-</t>
  </si>
  <si>
    <t>1a</t>
  </si>
  <si>
    <t>Zeer zwaar</t>
  </si>
  <si>
    <t>86-95+</t>
  </si>
  <si>
    <t>Zwaar</t>
  </si>
  <si>
    <t>76-85</t>
  </si>
  <si>
    <t>Middel</t>
  </si>
  <si>
    <t>66-75</t>
  </si>
  <si>
    <t>Licht</t>
  </si>
  <si>
    <t>55-65</t>
  </si>
  <si>
    <t>2d</t>
  </si>
  <si>
    <t>Totale vloot</t>
  </si>
  <si>
    <t>&lt;</t>
  </si>
  <si>
    <r>
      <t xml:space="preserve">Gebruik deze groepcode om in de  </t>
    </r>
    <r>
      <rPr>
        <b/>
        <sz val="11"/>
        <color rgb="FFFF0000"/>
        <rFont val="Calibri"/>
        <family val="2"/>
        <scheme val="minor"/>
      </rPr>
      <t>Hulptabel</t>
    </r>
    <r>
      <rPr>
        <sz val="11"/>
        <color rgb="FFFF0000"/>
        <rFont val="Calibri"/>
        <family val="2"/>
        <scheme val="minor"/>
      </rPr>
      <t xml:space="preserve"> onder de kolom '</t>
    </r>
    <r>
      <rPr>
        <b/>
        <sz val="11"/>
        <color rgb="FFFF0000"/>
        <rFont val="Calibri"/>
        <family val="2"/>
        <scheme val="minor"/>
      </rPr>
      <t>Plan'</t>
    </r>
    <r>
      <rPr>
        <sz val="11"/>
        <color rgb="FFFF0000"/>
        <rFont val="Calibri"/>
        <family val="2"/>
        <scheme val="minor"/>
      </rPr>
      <t xml:space="preserve"> de boten toe te wijzen aan een bepaalde groep. </t>
    </r>
  </si>
  <si>
    <t>Totaal:</t>
  </si>
  <si>
    <t>Aanpassingen aanschafbudget:</t>
  </si>
  <si>
    <t>Het jaarlijkse aanschafbudget</t>
  </si>
  <si>
    <r>
      <t xml:space="preserve">Pas de kolom </t>
    </r>
    <r>
      <rPr>
        <b/>
        <sz val="11"/>
        <color rgb="FFFF0000"/>
        <rFont val="Calibri"/>
        <family val="2"/>
        <scheme val="minor"/>
      </rPr>
      <t>Vervang</t>
    </r>
    <r>
      <rPr>
        <sz val="11"/>
        <color rgb="FFFF0000"/>
        <rFont val="Calibri"/>
        <family val="2"/>
        <scheme val="minor"/>
      </rPr>
      <t xml:space="preserve"> onder de tab </t>
    </r>
    <r>
      <rPr>
        <b/>
        <sz val="11"/>
        <color rgb="FFFF0000"/>
        <rFont val="Calibri"/>
        <family val="2"/>
        <scheme val="minor"/>
      </rPr>
      <t>Hulptabel</t>
    </r>
    <r>
      <rPr>
        <sz val="11"/>
        <color rgb="FFFF0000"/>
        <rFont val="Calibri"/>
        <family val="2"/>
        <scheme val="minor"/>
      </rPr>
      <t xml:space="preserve"> aan, om deze prognose aan te passen. </t>
    </r>
  </si>
  <si>
    <r>
      <t xml:space="preserve">Pas het veld </t>
    </r>
    <r>
      <rPr>
        <b/>
        <sz val="11"/>
        <color rgb="FFFF0000"/>
        <rFont val="Calibri"/>
        <family val="2"/>
        <scheme val="minor"/>
      </rPr>
      <t>Jaarlijks aanschafbudget</t>
    </r>
    <r>
      <rPr>
        <sz val="11"/>
        <color rgb="FFFF0000"/>
        <rFont val="Calibri"/>
        <family val="2"/>
        <scheme val="minor"/>
      </rPr>
      <t xml:space="preserve"> onder de tab </t>
    </r>
    <r>
      <rPr>
        <b/>
        <sz val="11"/>
        <color rgb="FFFF0000"/>
        <rFont val="Calibri"/>
        <family val="2"/>
        <scheme val="minor"/>
      </rPr>
      <t>Kentallen</t>
    </r>
    <r>
      <rPr>
        <sz val="11"/>
        <color rgb="FFFF0000"/>
        <rFont val="Calibri"/>
        <family val="2"/>
        <scheme val="minor"/>
      </rPr>
      <t xml:space="preserve"> aan om de vervangingstermijn te veranderen.</t>
    </r>
  </si>
  <si>
    <r>
      <t xml:space="preserve">Ga naar de tab </t>
    </r>
    <r>
      <rPr>
        <b/>
        <sz val="11"/>
        <rFont val="Calibri"/>
        <family val="2"/>
        <scheme val="minor"/>
      </rPr>
      <t>Kentallen</t>
    </r>
    <r>
      <rPr>
        <sz val="11"/>
        <rFont val="Calibri"/>
        <family val="2"/>
        <scheme val="minor"/>
      </rPr>
      <t xml:space="preserve"> en vul onde de kolom </t>
    </r>
    <r>
      <rPr>
        <b/>
        <sz val="11"/>
        <rFont val="Calibri"/>
        <family val="2"/>
        <scheme val="minor"/>
      </rPr>
      <t>Via hulptabe</t>
    </r>
    <r>
      <rPr>
        <sz val="11"/>
        <rFont val="Calibri"/>
        <family val="2"/>
        <scheme val="minor"/>
      </rPr>
      <t xml:space="preserve">l de </t>
    </r>
    <r>
      <rPr>
        <sz val="11"/>
        <color rgb="FF0070C0"/>
        <rFont val="Calibri"/>
        <family val="2"/>
        <scheme val="minor"/>
      </rPr>
      <t>blauwe</t>
    </r>
    <r>
      <rPr>
        <sz val="11"/>
        <rFont val="Calibri"/>
        <family val="2"/>
        <scheme val="minor"/>
      </rPr>
      <t xml:space="preserve"> velden in. De Excel sheet rekent nu alle kentallen automatisch voor u uit. </t>
    </r>
  </si>
  <si>
    <t>De samenstelling van de vloot in percentages</t>
  </si>
  <si>
    <r>
      <t xml:space="preserve">Controleer of elke boot (type en werf) in uw vloot ook terug te vinden is in de tabel met standaard bootprijzen. De rode </t>
    </r>
    <r>
      <rPr>
        <sz val="11"/>
        <color rgb="FFFF0000"/>
        <rFont val="Calibri"/>
        <family val="2"/>
        <scheme val="minor"/>
      </rPr>
      <t>#N/A</t>
    </r>
    <r>
      <rPr>
        <sz val="11"/>
        <rFont val="Calibri"/>
        <family val="2"/>
        <scheme val="minor"/>
      </rPr>
      <t xml:space="preserve"> vermeldingen zijn dan weg.</t>
    </r>
  </si>
  <si>
    <t>de vereniging. Boten die vaker worden afgeschreven en boten die een groter aantal roeiers bevatten, krijgen een hogere score t.o.z.v.h. gemiddelde (=100).</t>
  </si>
  <si>
    <t>4.</t>
  </si>
  <si>
    <t>5.</t>
  </si>
  <si>
    <r>
      <t xml:space="preserve">Het aanwezige bedrag in het botenfonds kan achter het veld </t>
    </r>
    <r>
      <rPr>
        <b/>
        <sz val="11"/>
        <rFont val="Calibri"/>
        <family val="2"/>
        <scheme val="minor"/>
      </rPr>
      <t>Bestaand saldo</t>
    </r>
    <r>
      <rPr>
        <sz val="11"/>
        <rFont val="Calibri"/>
        <family val="2"/>
        <scheme val="minor"/>
      </rPr>
      <t xml:space="preserve"> worden ingevuld.</t>
    </r>
  </si>
  <si>
    <r>
      <t xml:space="preserve">Daarnaast kunt u met deze sheet ook het vlootplan van uw vereniging samenstellen. Deze kan worden teruggevonden onder de tab </t>
    </r>
    <r>
      <rPr>
        <b/>
        <sz val="11"/>
        <rFont val="Calibri"/>
        <family val="2"/>
        <scheme val="minor"/>
      </rPr>
      <t>Vlootplan</t>
    </r>
  </si>
  <si>
    <t xml:space="preserve">Tenslotte biedt de sheet de mogelijkheid om een financiële planning over de jaren heen te maken. </t>
  </si>
  <si>
    <r>
      <t xml:space="preserve">Deze prognose wordt automatisch opgebouwd* en is terug te vinden onder de tab </t>
    </r>
    <r>
      <rPr>
        <b/>
        <sz val="11"/>
        <rFont val="Calibri"/>
        <family val="2"/>
        <scheme val="minor"/>
      </rPr>
      <t>Investeringsprognose.</t>
    </r>
  </si>
  <si>
    <r>
      <t xml:space="preserve">De in de tab </t>
    </r>
    <r>
      <rPr>
        <b/>
        <sz val="11"/>
        <rFont val="Calibri"/>
        <family val="2"/>
        <scheme val="minor"/>
      </rPr>
      <t>Investeringsprognose</t>
    </r>
    <r>
      <rPr>
        <sz val="11"/>
        <rFont val="Calibri"/>
        <family val="2"/>
        <scheme val="minor"/>
      </rPr>
      <t xml:space="preserve"> gebruikte minimale levensduur kan achter het veld </t>
    </r>
    <r>
      <rPr>
        <b/>
        <sz val="11"/>
        <rFont val="Calibri"/>
        <family val="2"/>
        <scheme val="minor"/>
      </rPr>
      <t xml:space="preserve">Levensduur </t>
    </r>
    <r>
      <rPr>
        <sz val="11"/>
        <rFont val="Calibri"/>
        <family val="2"/>
        <scheme val="minor"/>
      </rPr>
      <t xml:space="preserve"> worden ingevuld.</t>
    </r>
  </si>
  <si>
    <r>
      <t xml:space="preserve">Het jaarlijkse aanschafbudget kan worden aangepast door bedragen in de rij </t>
    </r>
    <r>
      <rPr>
        <b/>
        <sz val="11"/>
        <rFont val="Calibri"/>
        <family val="2"/>
        <scheme val="minor"/>
      </rPr>
      <t>Aanpassingen aanschafbudget</t>
    </r>
    <r>
      <rPr>
        <sz val="11"/>
        <rFont val="Calibri"/>
        <family val="2"/>
        <scheme val="minor"/>
      </rPr>
      <t xml:space="preserve"> in te voeren.</t>
    </r>
  </si>
  <si>
    <r>
      <t xml:space="preserve">Het veld </t>
    </r>
    <r>
      <rPr>
        <b/>
        <sz val="11"/>
        <rFont val="Calibri"/>
        <family val="2"/>
        <scheme val="minor"/>
      </rPr>
      <t>Tekort/Overschot</t>
    </r>
    <r>
      <rPr>
        <sz val="11"/>
        <rFont val="Calibri"/>
        <family val="2"/>
        <scheme val="minor"/>
      </rPr>
      <t xml:space="preserve"> toont het bedrag dat tekort of over is, gegeven het jaarlijkse budget en de gebruikte minimale levensduur voor de boten.</t>
    </r>
  </si>
  <si>
    <t>Aantal gladde boten in de vloot.</t>
  </si>
  <si>
    <t>Aantal C-boot boten in de vloot.</t>
  </si>
  <si>
    <t>Aantal wherries in de vloot.</t>
  </si>
  <si>
    <t>Vervangingswaarde inclusief riemen.</t>
  </si>
  <si>
    <t>Vervangingswaarde gladde boten exclusief riemen.</t>
  </si>
  <si>
    <t>Vervangingswaarde C-boten exclusief riemen.</t>
  </si>
  <si>
    <t>Vervangingswaarde wherries exclusief riemen.</t>
  </si>
  <si>
    <t>Burger</t>
  </si>
  <si>
    <t>Gemiddeld aantal roeiplekken per boot</t>
  </si>
  <si>
    <t>Hoeveel roeiplekken heeft een boot in de vloot gemiddeld.</t>
  </si>
  <si>
    <t>Samenstelling vloot, verhouding grote/kleine boten</t>
  </si>
  <si>
    <t>* voor gladde boten</t>
  </si>
  <si>
    <t>Hoeveel roeiplekken heeft een gladde boot in de vloot gemiddeld.</t>
  </si>
  <si>
    <t>* voor c-boten</t>
  </si>
  <si>
    <t>Hoeveel roeiplekken heeft een C-boot in de vloot gemiddeld.</t>
  </si>
  <si>
    <t>* voor wherries</t>
  </si>
  <si>
    <t>Hoeveel roeiplekken heeft een wherry in de vloot gemiddeld.</t>
  </si>
  <si>
    <r>
      <t xml:space="preserve">Gemiddelde prijs  van een roeiplek in euro's </t>
    </r>
    <r>
      <rPr>
        <u/>
        <sz val="11"/>
        <color theme="1"/>
        <rFont val="Calibri"/>
        <family val="2"/>
        <scheme val="minor"/>
      </rPr>
      <t>inclusief</t>
    </r>
    <r>
      <rPr>
        <sz val="11"/>
        <color theme="1"/>
        <rFont val="Calibri"/>
        <family val="2"/>
        <scheme val="minor"/>
      </rPr>
      <t xml:space="preserve"> riemen.</t>
    </r>
  </si>
  <si>
    <r>
      <t xml:space="preserve">Gemiddelde prijs  van een gladde roeiplek in euro's </t>
    </r>
    <r>
      <rPr>
        <u/>
        <sz val="11"/>
        <color theme="1"/>
        <rFont val="Calibri"/>
        <family val="2"/>
        <scheme val="minor"/>
      </rPr>
      <t>exclusief</t>
    </r>
    <r>
      <rPr>
        <sz val="11"/>
        <color theme="1"/>
        <rFont val="Calibri"/>
        <family val="2"/>
        <scheme val="minor"/>
      </rPr>
      <t xml:space="preserve"> riemen.</t>
    </r>
  </si>
  <si>
    <r>
      <t xml:space="preserve">Gemiddelde prijs  van een C-boot roeiplek in euro's </t>
    </r>
    <r>
      <rPr>
        <u/>
        <sz val="11"/>
        <color theme="1"/>
        <rFont val="Calibri"/>
        <family val="2"/>
        <scheme val="minor"/>
      </rPr>
      <t>exclusief</t>
    </r>
    <r>
      <rPr>
        <sz val="11"/>
        <color theme="1"/>
        <rFont val="Calibri"/>
        <family val="2"/>
        <scheme val="minor"/>
      </rPr>
      <t xml:space="preserve"> riemen.</t>
    </r>
  </si>
  <si>
    <r>
      <t xml:space="preserve">Gemiddelde prijs  van een Wherry roeiplek in euro's </t>
    </r>
    <r>
      <rPr>
        <u/>
        <sz val="11"/>
        <color theme="1"/>
        <rFont val="Calibri"/>
        <family val="2"/>
        <scheme val="minor"/>
      </rPr>
      <t>exclusief</t>
    </r>
    <r>
      <rPr>
        <sz val="11"/>
        <color theme="1"/>
        <rFont val="Calibri"/>
        <family val="2"/>
        <scheme val="minor"/>
      </rPr>
      <t xml:space="preserve"> riemen.</t>
    </r>
  </si>
  <si>
    <t>Backlog</t>
  </si>
  <si>
    <t>Aanschafbudget</t>
  </si>
  <si>
    <t>Jaarsaldo:</t>
  </si>
  <si>
    <t>Cummulatief saldo:</t>
  </si>
  <si>
    <t>De minimale levensduur</t>
  </si>
  <si>
    <t>4x</t>
  </si>
  <si>
    <t xml:space="preserve">   &gt; waarvan glad klein</t>
  </si>
  <si>
    <t xml:space="preserve">   &gt; waarvan glad groot</t>
  </si>
  <si>
    <t>v</t>
  </si>
  <si>
    <t>w</t>
  </si>
  <si>
    <t>Aantal roeiplekken gladde skiffjes en tweeën in deze vloot</t>
  </si>
  <si>
    <t>Aantal roeiplekken gladde vieren en achten in deze vloot</t>
  </si>
  <si>
    <t>Percentage roeiplekken gladde skiffjes en tweeën in deze vloot</t>
  </si>
  <si>
    <t>Percentage roeiplekken gladde vieren en achten in deze vloot</t>
  </si>
  <si>
    <t>Gemiddeld gebruik van een roeiplek</t>
  </si>
  <si>
    <t>Hoe vaak wordt een roeiplek jaarlijks gebruikt.</t>
  </si>
  <si>
    <t>Standaard boten</t>
  </si>
  <si>
    <t>Riemen</t>
  </si>
  <si>
    <t>Alle boten:</t>
  </si>
  <si>
    <t>Totaal</t>
  </si>
  <si>
    <t>Extra</t>
  </si>
  <si>
    <t>Standaard</t>
  </si>
  <si>
    <t>Aantallen uit het vlootplan:</t>
  </si>
  <si>
    <t>Lengtes van de boten:</t>
  </si>
  <si>
    <t>Totale bootlengte:</t>
  </si>
  <si>
    <t>Resultaat</t>
  </si>
  <si>
    <t>Variabelen</t>
  </si>
  <si>
    <t>Gebruiksaanwijzing</t>
  </si>
  <si>
    <t>Bootlengte</t>
  </si>
  <si>
    <t>Gebruikte aantallen:</t>
  </si>
  <si>
    <t>Daadwerkelijke bezetting</t>
  </si>
  <si>
    <t>Aantal riemen per strekkende meter:</t>
  </si>
  <si>
    <t>2. Vul dan de locatiegegevens in: per loodszijde de lengte,het aantal lagen</t>
  </si>
  <si>
    <t>Aanwezige stellinglengte</t>
  </si>
  <si>
    <t xml:space="preserve">    en het aantal strekkende meters gebruikt voor riemrekken.</t>
  </si>
  <si>
    <t>Berekende riemruimte (strekkende meters)</t>
  </si>
  <si>
    <t>Gebruikte riemruimte (strekkende meters)</t>
  </si>
  <si>
    <t>Snijverlies boten:</t>
  </si>
  <si>
    <t>Plaatsing boten in de loods</t>
  </si>
  <si>
    <t>Links of</t>
  </si>
  <si>
    <t>Loods</t>
  </si>
  <si>
    <t>Riem-</t>
  </si>
  <si>
    <t>Stelling</t>
  </si>
  <si>
    <t>Boot</t>
  </si>
  <si>
    <t>Aantal</t>
  </si>
  <si>
    <t>Locatie</t>
  </si>
  <si>
    <t>Rechts</t>
  </si>
  <si>
    <t>lengte</t>
  </si>
  <si>
    <t>ruimte</t>
  </si>
  <si>
    <t>Lagen</t>
  </si>
  <si>
    <t>Bezetting</t>
  </si>
  <si>
    <t>boten</t>
  </si>
  <si>
    <t>Loods 1</t>
  </si>
  <si>
    <t>Links</t>
  </si>
  <si>
    <t>Loods 2</t>
  </si>
  <si>
    <t>Loods 3</t>
  </si>
  <si>
    <t>Loods 4</t>
  </si>
  <si>
    <t>Loods 5</t>
  </si>
  <si>
    <t>Loods 6</t>
  </si>
  <si>
    <t>Riemenrekken</t>
  </si>
  <si>
    <t>Vlootplan+correctie</t>
  </si>
  <si>
    <t>Extra boottypes</t>
  </si>
  <si>
    <r>
      <rPr>
        <sz val="11"/>
        <color theme="1"/>
        <rFont val="Wingdings 3"/>
        <family val="1"/>
        <charset val="2"/>
      </rPr>
      <t xml:space="preserve">Ù </t>
    </r>
    <r>
      <rPr>
        <sz val="11"/>
        <color theme="1"/>
        <rFont val="Calibri"/>
        <family val="2"/>
        <scheme val="minor"/>
      </rPr>
      <t>Kies hier welke aantallen er gebruikt moeten worden.</t>
    </r>
  </si>
  <si>
    <t>Extra:  hoeveel stellinglengte heb ik nodig</t>
  </si>
  <si>
    <t>Deze sheet maakt het mogelijk om te bekijken of de loodsen efficient zijn ingedeeld. Gebruik hiervoor de volgende stappen:</t>
  </si>
  <si>
    <t>Een vloot (gladde en andere boten) kan worden ingedeeld in drie categorieën:</t>
  </si>
  <si>
    <t>Bepaal welke aantallen gebruikt moeten worden: De aantallen uit het vlootplan, deze aantallen met een correctie daar op of de eigen aantallen.</t>
  </si>
  <si>
    <t>Extra boottypen kunnen in de laatste drie kolommen worden toegevoegd. Daar is ook plek voor opgave van het aantal extra riemen.</t>
  </si>
  <si>
    <t>Vervolgens word per loods de lengte, het aantal stellinglagen en het aantal strekkende meters riemenrek dat minder stellinglegte geeft.</t>
  </si>
  <si>
    <t>Per locatie kan het aantal boten worden gespecificeerd. Onder de boottype staat hoeveel er nog geplaatst moeten worden, dan wel of de plaatsing klaar is.</t>
  </si>
  <si>
    <t>Gewenste bezetting:</t>
  </si>
  <si>
    <t>3. geef per locatie, per boottype, het aantal boten dat er ligt</t>
  </si>
  <si>
    <t>Ales alles is ingevuld, kan per loodszijde en in totaal de bezetting worden bekeken. De effecten van geplande bootverhuizingen kunnen ook worden bekeken.</t>
  </si>
  <si>
    <t>Belang van een boot voor de vereniging: hoe vaak gebruikt een roeier de boot ten opzichte van het gemiddelde (=100%)</t>
  </si>
  <si>
    <t>Berekende noodzakelijke stellinglengte:</t>
  </si>
  <si>
    <t>Jeroen Brinkman</t>
  </si>
  <si>
    <t>Versie 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</si>
</sst>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/mm/yy;@"/>
    <numFmt numFmtId="165" formatCode="yyyy"/>
    <numFmt numFmtId="166" formatCode="_ &quot;€&quot;\ * #,##0_ ;_ &quot;€&quot;\ * \-#,##0_ ;_ &quot;€&quot;\ * &quot;-&quot;??_ ;_ @_ "/>
    <numFmt numFmtId="167" formatCode="##,##0;&quot;Error&quot;;&quot;-&quot;"/>
    <numFmt numFmtId="168" formatCode="0.0"/>
    <numFmt numFmtId="169" formatCode="0;&quot;Error&quot;;&quot;-&quot;"/>
    <numFmt numFmtId="170" formatCode="0.0;&quot;Error&quot;;&quot;-&quot;"/>
    <numFmt numFmtId="171" formatCode="0%;&quot;Error&quot;;&quot;-&quot;"/>
    <numFmt numFmtId="172" formatCode="_ &quot;€&quot;\ * #,##0_ ;&quot;Error&quot;;&quot;-&quot;"/>
    <numFmt numFmtId="173" formatCode="_ &quot;€&quot;\ * #,##0.00_ ;&quot;Error&quot;;&quot;-&quot;"/>
    <numFmt numFmtId="174" formatCode="##,000;&quot;Error&quot;;&quot;-&quot;"/>
    <numFmt numFmtId="175" formatCode="#"/>
    <numFmt numFmtId="176" formatCode="_ * #,##0_ ;_ * \-#,##0_ ;_ * &quot;-&quot;??_ ;_ @_ "/>
    <numFmt numFmtId="177" formatCode="#,###"/>
    <numFmt numFmtId="178" formatCode="0.0000"/>
    <numFmt numFmtId="179" formatCode="0000"/>
    <numFmt numFmtId="180" formatCode="##,###"/>
    <numFmt numFmtId="181" formatCode="&quot;Reductiefactor high-end &lt;-&gt; lowend:&quot;\ 0.##"/>
    <numFmt numFmtId="182" formatCode="#;&quot;-&quot;;&quot;-&quot;"/>
    <numFmt numFmtId="183" formatCode="#0%;&quot;-&quot;;&quot;-&quot;"/>
    <numFmt numFmtId="184" formatCode="0.0;&quot;x&quot;;&quot;-&quot;"/>
    <numFmt numFmtId="185" formatCode="#,###;[Red]\-#,###"/>
    <numFmt numFmtId="186" formatCode="0;[Red]&quot;Fout&quot;;&quot;-&quot;"/>
    <numFmt numFmtId="187" formatCode="_ &quot;€&quot;\ * #,##0_ ;[Red]&quot;Fout&quot;;&quot;-&quot;"/>
    <numFmt numFmtId="188" formatCode="0.00;&quot;Error&quot;;&quot;-&quot;"/>
    <numFmt numFmtId="189" formatCode="#,##0.0"/>
    <numFmt numFmtId="190" formatCode="[Red]\+0.0;\-0.0;&quot;&quot;"/>
    <numFmt numFmtId="191" formatCode="_ &quot;€&quot;\ * ##,##0_ ;_ &quot;€&quot;\ * \-##,##0_ ;&quot;-&quot;"/>
    <numFmt numFmtId="192" formatCode="0.0;\-0.0;&quot;-&quot;"/>
    <numFmt numFmtId="193" formatCode="#,##0;&quot;Error&quot;;&quot;-&quot;"/>
    <numFmt numFmtId="194" formatCode="#;&quot;Fout!&quot;;&quot;-&quot;"/>
    <numFmt numFmtId="195" formatCode="#;\-#;&quot;-&quot;"/>
    <numFmt numFmtId="196" formatCode="0.0&quot;m&quot;\ ;&quot;Fout&quot;;&quot;-&quot;"/>
    <numFmt numFmtId="197" formatCode="\+#;\-#;&quot;-&quot;"/>
    <numFmt numFmtId="198" formatCode="0.0&quot;m&quot;\ ;&quot;Fout&quot;;&quot;&quot;"/>
    <numFmt numFmtId="199" formatCode="0&quot;m&quot;\ ;&quot;Fout&quot;;&quot;-&quot;"/>
    <numFmt numFmtId="200" formatCode="0\ &quot;riemen&quot;"/>
    <numFmt numFmtId="201" formatCode="0&quot;m&quot;\ "/>
    <numFmt numFmtId="202" formatCode="#;&quot;Te veel&quot;;&quot;Klaar&quot;"/>
    <numFmt numFmtId="203" formatCode="0.0&quot;m&quot;\ "/>
    <numFmt numFmtId="204" formatCode="0&quot;m&quot;;&quot;&quot;;&quot;&quot;"/>
    <numFmt numFmtId="205" formatCode="0%;&quot;&quot;;&quot;&quot;"/>
    <numFmt numFmtId="206" formatCode="0.0&quot;m&quot;;&quot;&quot;;&quot;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Times New Roman"/>
      <family val="1"/>
    </font>
    <font>
      <sz val="10"/>
      <name val="Lucida Console"/>
      <family val="3"/>
    </font>
    <font>
      <sz val="11"/>
      <color theme="0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theme="1" tint="0.499984740745262"/>
      <name val="Arial"/>
      <family val="2"/>
    </font>
    <font>
      <i/>
      <sz val="11"/>
      <color rgb="FF0070C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i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Wingdings 3"/>
      <family val="1"/>
      <charset val="2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</cellStyleXfs>
  <cellXfs count="662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7" fillId="0" borderId="7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7" fillId="0" borderId="10" xfId="0" applyFont="1" applyBorder="1" applyAlignment="1">
      <alignment horizontal="right"/>
    </xf>
    <xf numFmtId="0" fontId="6" fillId="0" borderId="8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/>
    <xf numFmtId="0" fontId="7" fillId="0" borderId="8" xfId="0" applyFont="1" applyBorder="1" applyAlignment="1">
      <alignment horizontal="left"/>
    </xf>
    <xf numFmtId="0" fontId="6" fillId="0" borderId="9" xfId="0" applyFont="1" applyFill="1" applyBorder="1"/>
    <xf numFmtId="0" fontId="6" fillId="0" borderId="14" xfId="0" applyFont="1" applyBorder="1" applyAlignment="1">
      <alignment horizontal="left" indent="2"/>
    </xf>
    <xf numFmtId="0" fontId="7" fillId="0" borderId="11" xfId="0" applyFont="1" applyBorder="1" applyAlignment="1">
      <alignment horizontal="left"/>
    </xf>
    <xf numFmtId="0" fontId="6" fillId="0" borderId="0" xfId="0" applyFont="1" applyAlignment="1">
      <alignment horizontal="left" indent="2"/>
    </xf>
    <xf numFmtId="0" fontId="6" fillId="0" borderId="18" xfId="0" applyFont="1" applyBorder="1"/>
    <xf numFmtId="0" fontId="6" fillId="0" borderId="19" xfId="0" applyFont="1" applyBorder="1"/>
    <xf numFmtId="0" fontId="7" fillId="0" borderId="20" xfId="0" applyFont="1" applyBorder="1" applyAlignment="1">
      <alignment horizontal="right"/>
    </xf>
    <xf numFmtId="0" fontId="6" fillId="0" borderId="21" xfId="0" applyFont="1" applyBorder="1"/>
    <xf numFmtId="0" fontId="6" fillId="0" borderId="22" xfId="0" applyFont="1" applyFill="1" applyBorder="1"/>
    <xf numFmtId="0" fontId="7" fillId="0" borderId="23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4" fillId="0" borderId="24" xfId="0" applyFont="1" applyBorder="1" applyAlignment="1">
      <alignment horizontal="left"/>
    </xf>
    <xf numFmtId="164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wrapText="1"/>
    </xf>
    <xf numFmtId="0" fontId="0" fillId="0" borderId="24" xfId="0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16" xfId="0" applyBorder="1"/>
    <xf numFmtId="0" fontId="15" fillId="0" borderId="16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49" fontId="0" fillId="0" borderId="0" xfId="0" applyNumberFormat="1"/>
    <xf numFmtId="1" fontId="8" fillId="0" borderId="0" xfId="0" applyNumberFormat="1" applyFont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right" wrapText="1"/>
      <protection locked="0"/>
    </xf>
    <xf numFmtId="164" fontId="8" fillId="0" borderId="0" xfId="0" applyNumberFormat="1" applyFont="1" applyAlignment="1" applyProtection="1">
      <alignment horizontal="right" wrapText="1"/>
    </xf>
    <xf numFmtId="49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right" wrapText="1"/>
      <protection locked="0"/>
    </xf>
    <xf numFmtId="166" fontId="8" fillId="0" borderId="0" xfId="2" applyNumberFormat="1" applyFont="1" applyAlignment="1" applyProtection="1">
      <alignment horizontal="right" wrapText="1"/>
      <protection locked="0"/>
    </xf>
    <xf numFmtId="166" fontId="0" fillId="0" borderId="0" xfId="0" applyNumberFormat="1"/>
    <xf numFmtId="0" fontId="6" fillId="0" borderId="0" xfId="0" applyFont="1" applyAlignment="1" applyProtection="1">
      <alignment horizontal="right" wrapText="1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Border="1" applyAlignment="1">
      <alignment vertical="center"/>
    </xf>
    <xf numFmtId="166" fontId="6" fillId="0" borderId="0" xfId="2" applyNumberFormat="1" applyFont="1" applyAlignment="1" applyProtection="1">
      <alignment horizontal="right" wrapText="1"/>
    </xf>
    <xf numFmtId="167" fontId="8" fillId="0" borderId="0" xfId="0" applyNumberFormat="1" applyFont="1" applyAlignment="1" applyProtection="1">
      <alignment horizontal="right" wrapText="1"/>
      <protection locked="0"/>
    </xf>
    <xf numFmtId="167" fontId="6" fillId="0" borderId="0" xfId="0" applyNumberFormat="1" applyFont="1" applyAlignment="1" applyProtection="1">
      <alignment horizontal="right" wrapText="1"/>
    </xf>
    <xf numFmtId="44" fontId="17" fillId="0" borderId="0" xfId="0" applyNumberFormat="1" applyFont="1" applyAlignment="1">
      <alignment horizontal="right" wrapText="1"/>
    </xf>
    <xf numFmtId="168" fontId="8" fillId="0" borderId="0" xfId="0" applyNumberFormat="1" applyFont="1" applyAlignment="1" applyProtection="1">
      <alignment horizontal="right" wrapText="1"/>
      <protection locked="0"/>
    </xf>
    <xf numFmtId="168" fontId="6" fillId="0" borderId="0" xfId="0" applyNumberFormat="1" applyFont="1" applyAlignment="1" applyProtection="1">
      <alignment horizontal="right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24" xfId="0" applyFont="1" applyBorder="1" applyAlignment="1">
      <alignment horizontal="right"/>
    </xf>
    <xf numFmtId="49" fontId="4" fillId="0" borderId="24" xfId="0" applyNumberFormat="1" applyFont="1" applyBorder="1"/>
    <xf numFmtId="0" fontId="0" fillId="0" borderId="24" xfId="0" applyBorder="1"/>
    <xf numFmtId="164" fontId="4" fillId="0" borderId="24" xfId="0" applyNumberFormat="1" applyFont="1" applyBorder="1" applyAlignment="1" applyProtection="1">
      <alignment horizontal="right" wrapText="1"/>
    </xf>
    <xf numFmtId="0" fontId="4" fillId="0" borderId="24" xfId="0" applyFont="1" applyBorder="1" applyAlignment="1" applyProtection="1">
      <alignment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 applyAlignment="1">
      <alignment horizontal="left"/>
    </xf>
    <xf numFmtId="14" fontId="17" fillId="0" borderId="0" xfId="0" applyNumberFormat="1" applyFont="1" applyAlignment="1" applyProtection="1">
      <alignment horizontal="right" wrapText="1"/>
    </xf>
    <xf numFmtId="0" fontId="17" fillId="0" borderId="0" xfId="0" applyNumberFormat="1" applyFont="1" applyAlignment="1" applyProtection="1">
      <alignment horizontal="right" wrapText="1"/>
    </xf>
    <xf numFmtId="169" fontId="17" fillId="0" borderId="0" xfId="0" applyNumberFormat="1" applyFont="1" applyAlignment="1">
      <alignment horizontal="right" wrapText="1"/>
    </xf>
    <xf numFmtId="170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wrapText="1"/>
    </xf>
    <xf numFmtId="169" fontId="17" fillId="0" borderId="0" xfId="3" applyNumberFormat="1" applyFont="1" applyAlignment="1">
      <alignment horizontal="right" wrapText="1"/>
    </xf>
    <xf numFmtId="171" fontId="17" fillId="0" borderId="0" xfId="3" applyNumberFormat="1" applyFont="1" applyAlignment="1">
      <alignment horizontal="right" wrapText="1"/>
    </xf>
    <xf numFmtId="2" fontId="17" fillId="0" borderId="0" xfId="0" applyNumberFormat="1" applyFont="1" applyAlignment="1" applyProtection="1">
      <alignment horizontal="right" wrapText="1"/>
    </xf>
    <xf numFmtId="172" fontId="17" fillId="0" borderId="0" xfId="0" applyNumberFormat="1" applyFont="1" applyAlignment="1">
      <alignment horizontal="right" wrapText="1"/>
    </xf>
    <xf numFmtId="173" fontId="17" fillId="0" borderId="0" xfId="0" applyNumberFormat="1" applyFont="1" applyAlignment="1">
      <alignment horizontal="right" wrapText="1"/>
    </xf>
    <xf numFmtId="174" fontId="17" fillId="0" borderId="0" xfId="0" applyNumberFormat="1" applyFont="1" applyAlignment="1">
      <alignment horizontal="right" wrapText="1"/>
    </xf>
    <xf numFmtId="1" fontId="17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175" fontId="21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5" fontId="21" fillId="0" borderId="25" xfId="0" applyNumberFormat="1" applyFont="1" applyBorder="1" applyAlignment="1">
      <alignment horizontal="center" vertical="center"/>
    </xf>
    <xf numFmtId="166" fontId="21" fillId="0" borderId="25" xfId="2" applyNumberFormat="1" applyFont="1" applyBorder="1" applyAlignment="1">
      <alignment horizontal="right" vertical="center"/>
    </xf>
    <xf numFmtId="175" fontId="4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75" fontId="21" fillId="0" borderId="2" xfId="0" applyNumberFormat="1" applyFont="1" applyBorder="1" applyAlignment="1" applyProtection="1">
      <alignment horizontal="center" vertical="center"/>
    </xf>
    <xf numFmtId="175" fontId="21" fillId="0" borderId="3" xfId="0" applyNumberFormat="1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2" fontId="21" fillId="0" borderId="4" xfId="0" applyNumberFormat="1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176" fontId="21" fillId="0" borderId="2" xfId="1" applyNumberFormat="1" applyFont="1" applyBorder="1" applyAlignment="1" applyProtection="1">
      <alignment horizontal="right" vertical="center"/>
    </xf>
    <xf numFmtId="177" fontId="22" fillId="0" borderId="29" xfId="0" applyNumberFormat="1" applyFont="1" applyBorder="1" applyAlignment="1" applyProtection="1">
      <alignment vertical="center"/>
    </xf>
    <xf numFmtId="0" fontId="23" fillId="2" borderId="25" xfId="0" applyFont="1" applyFill="1" applyBorder="1" applyAlignment="1">
      <alignment horizontal="right"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49" fontId="23" fillId="2" borderId="25" xfId="0" applyNumberFormat="1" applyFont="1" applyFill="1" applyBorder="1" applyAlignment="1">
      <alignment horizontal="right" vertical="center" wrapText="1"/>
    </xf>
    <xf numFmtId="175" fontId="23" fillId="2" borderId="2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49" fontId="25" fillId="2" borderId="2" xfId="0" applyNumberFormat="1" applyFont="1" applyFill="1" applyBorder="1" applyAlignment="1" applyProtection="1">
      <alignment horizontal="center" vertical="center" wrapText="1"/>
    </xf>
    <xf numFmtId="49" fontId="25" fillId="2" borderId="3" xfId="0" applyNumberFormat="1" applyFont="1" applyFill="1" applyBorder="1" applyAlignment="1" applyProtection="1">
      <alignment horizontal="center" vertical="center" wrapText="1"/>
    </xf>
    <xf numFmtId="1" fontId="25" fillId="2" borderId="2" xfId="0" applyNumberFormat="1" applyFont="1" applyFill="1" applyBorder="1" applyAlignment="1" applyProtection="1">
      <alignment horizontal="center" vertical="center" wrapText="1"/>
    </xf>
    <xf numFmtId="49" fontId="25" fillId="2" borderId="4" xfId="0" applyNumberFormat="1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vertical="center"/>
    </xf>
    <xf numFmtId="49" fontId="26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75" fontId="26" fillId="0" borderId="29" xfId="0" applyNumberFormat="1" applyFont="1" applyBorder="1" applyAlignment="1" applyProtection="1">
      <alignment horizontal="center" vertical="center"/>
      <protection locked="0"/>
    </xf>
    <xf numFmtId="166" fontId="9" fillId="0" borderId="29" xfId="2" applyNumberFormat="1" applyFont="1" applyBorder="1" applyAlignment="1" applyProtection="1">
      <alignment horizontal="right" vertical="center"/>
      <protection locked="0"/>
    </xf>
    <xf numFmtId="175" fontId="9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6" fontId="8" fillId="0" borderId="16" xfId="2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175" fontId="22" fillId="0" borderId="30" xfId="0" applyNumberFormat="1" applyFont="1" applyBorder="1" applyAlignment="1" applyProtection="1">
      <alignment horizontal="center" vertical="center"/>
    </xf>
    <xf numFmtId="175" fontId="22" fillId="0" borderId="0" xfId="0" applyNumberFormat="1" applyFont="1" applyAlignment="1" applyProtection="1">
      <alignment horizontal="center" vertical="center"/>
    </xf>
    <xf numFmtId="1" fontId="22" fillId="0" borderId="30" xfId="0" applyNumberFormat="1" applyFont="1" applyBorder="1" applyAlignment="1" applyProtection="1">
      <alignment horizontal="center" vertical="center"/>
    </xf>
    <xf numFmtId="178" fontId="22" fillId="0" borderId="27" xfId="0" applyNumberFormat="1" applyFont="1" applyBorder="1" applyAlignment="1" applyProtection="1">
      <alignment horizontal="center" vertical="center"/>
    </xf>
    <xf numFmtId="175" fontId="22" fillId="0" borderId="27" xfId="0" applyNumberFormat="1" applyFont="1" applyBorder="1" applyAlignment="1" applyProtection="1">
      <alignment horizontal="center" vertical="center"/>
    </xf>
    <xf numFmtId="175" fontId="22" fillId="0" borderId="0" xfId="0" applyNumberFormat="1" applyFont="1" applyBorder="1" applyAlignment="1" applyProtection="1">
      <alignment horizontal="center" vertical="center"/>
    </xf>
    <xf numFmtId="175" fontId="22" fillId="0" borderId="17" xfId="0" applyNumberFormat="1" applyFont="1" applyBorder="1" applyAlignment="1" applyProtection="1">
      <alignment horizontal="center" vertical="center"/>
    </xf>
    <xf numFmtId="177" fontId="22" fillId="0" borderId="31" xfId="0" applyNumberFormat="1" applyFont="1" applyBorder="1" applyAlignment="1" applyProtection="1">
      <alignment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166" fontId="8" fillId="0" borderId="24" xfId="2" applyNumberFormat="1" applyFont="1" applyBorder="1" applyAlignment="1" applyProtection="1">
      <alignment horizontal="right" vertical="center"/>
      <protection locked="0"/>
    </xf>
    <xf numFmtId="0" fontId="0" fillId="0" borderId="33" xfId="0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vertical="center"/>
    </xf>
    <xf numFmtId="166" fontId="0" fillId="0" borderId="0" xfId="0" applyNumberFormat="1" applyBorder="1" applyAlignment="1">
      <alignment horizontal="right" vertical="center"/>
    </xf>
    <xf numFmtId="166" fontId="0" fillId="0" borderId="24" xfId="0" applyNumberFormat="1" applyBorder="1" applyAlignment="1">
      <alignment horizontal="right" vertical="center"/>
    </xf>
    <xf numFmtId="179" fontId="0" fillId="0" borderId="16" xfId="0" applyNumberFormat="1" applyFont="1" applyBorder="1" applyAlignment="1" applyProtection="1">
      <alignment horizontal="right" vertical="center"/>
    </xf>
    <xf numFmtId="0" fontId="0" fillId="0" borderId="34" xfId="0" applyBorder="1" applyAlignment="1">
      <alignment vertical="center"/>
    </xf>
    <xf numFmtId="166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vertical="center"/>
    </xf>
    <xf numFmtId="49" fontId="0" fillId="0" borderId="3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49" fontId="0" fillId="0" borderId="30" xfId="0" applyNumberFormat="1" applyBorder="1" applyAlignment="1">
      <alignment vertical="center"/>
    </xf>
    <xf numFmtId="175" fontId="17" fillId="0" borderId="0" xfId="0" applyNumberFormat="1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  <xf numFmtId="2" fontId="17" fillId="0" borderId="0" xfId="0" applyNumberFormat="1" applyFont="1" applyBorder="1" applyAlignment="1">
      <alignment horizontal="right" vertical="center"/>
    </xf>
    <xf numFmtId="49" fontId="0" fillId="0" borderId="28" xfId="0" applyNumberFormat="1" applyBorder="1" applyAlignment="1">
      <alignment vertical="center"/>
    </xf>
    <xf numFmtId="49" fontId="28" fillId="0" borderId="28" xfId="0" applyNumberFormat="1" applyFont="1" applyBorder="1" applyAlignment="1">
      <alignment vertical="center"/>
    </xf>
    <xf numFmtId="49" fontId="0" fillId="0" borderId="32" xfId="0" applyNumberForma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180" fontId="17" fillId="0" borderId="24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Continuous" vertical="center"/>
    </xf>
    <xf numFmtId="0" fontId="4" fillId="2" borderId="16" xfId="0" applyFont="1" applyFill="1" applyBorder="1" applyAlignment="1">
      <alignment horizontal="centerContinuous" vertical="center"/>
    </xf>
    <xf numFmtId="0" fontId="4" fillId="2" borderId="17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3" fillId="0" borderId="31" xfId="0" applyFont="1" applyBorder="1" applyAlignment="1">
      <alignment vertical="center"/>
    </xf>
    <xf numFmtId="49" fontId="25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22" fillId="0" borderId="31" xfId="0" applyFont="1" applyBorder="1" applyAlignment="1">
      <alignment horizontal="left" vertical="center"/>
    </xf>
    <xf numFmtId="0" fontId="29" fillId="0" borderId="0" xfId="0" applyFont="1" applyBorder="1" applyAlignment="1" applyProtection="1">
      <alignment vertical="center"/>
      <protection locked="0"/>
    </xf>
    <xf numFmtId="166" fontId="8" fillId="0" borderId="27" xfId="0" applyNumberFormat="1" applyFont="1" applyBorder="1" applyAlignment="1" applyProtection="1">
      <alignment horizontal="right" vertical="center"/>
      <protection locked="0"/>
    </xf>
    <xf numFmtId="0" fontId="22" fillId="0" borderId="29" xfId="0" applyFont="1" applyBorder="1" applyAlignment="1">
      <alignment horizontal="left" vertical="center"/>
    </xf>
    <xf numFmtId="0" fontId="8" fillId="0" borderId="0" xfId="0" applyFont="1" applyBorder="1" applyAlignment="1" applyProtection="1">
      <alignment vertical="center"/>
      <protection locked="0"/>
    </xf>
    <xf numFmtId="166" fontId="8" fillId="0" borderId="0" xfId="0" applyNumberFormat="1" applyFont="1" applyBorder="1" applyAlignment="1" applyProtection="1">
      <alignment horizontal="right" vertical="center"/>
      <protection locked="0"/>
    </xf>
    <xf numFmtId="181" fontId="8" fillId="0" borderId="25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0" fillId="0" borderId="36" xfId="0" applyBorder="1" applyAlignment="1">
      <alignment vertical="center"/>
    </xf>
    <xf numFmtId="49" fontId="26" fillId="0" borderId="32" xfId="0" applyNumberFormat="1" applyFont="1" applyBorder="1" applyAlignment="1" applyProtection="1">
      <alignment horizontal="left" vertical="center"/>
      <protection locked="0"/>
    </xf>
    <xf numFmtId="49" fontId="8" fillId="0" borderId="24" xfId="0" applyNumberFormat="1" applyFont="1" applyBorder="1" applyAlignment="1" applyProtection="1">
      <alignment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175" fontId="26" fillId="0" borderId="36" xfId="0" applyNumberFormat="1" applyFont="1" applyBorder="1" applyAlignment="1" applyProtection="1">
      <alignment horizontal="center" vertical="center"/>
      <protection locked="0"/>
    </xf>
    <xf numFmtId="166" fontId="9" fillId="0" borderId="36" xfId="2" applyNumberFormat="1" applyFont="1" applyBorder="1" applyAlignment="1" applyProtection="1">
      <alignment horizontal="right" vertical="center"/>
      <protection locked="0"/>
    </xf>
    <xf numFmtId="175" fontId="9" fillId="0" borderId="36" xfId="0" applyNumberFormat="1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166" fontId="8" fillId="0" borderId="33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vertical="center"/>
    </xf>
    <xf numFmtId="175" fontId="22" fillId="0" borderId="32" xfId="0" applyNumberFormat="1" applyFont="1" applyBorder="1" applyAlignment="1" applyProtection="1">
      <alignment horizontal="center" vertical="center"/>
    </xf>
    <xf numFmtId="175" fontId="22" fillId="0" borderId="24" xfId="0" applyNumberFormat="1" applyFont="1" applyBorder="1" applyAlignment="1" applyProtection="1">
      <alignment horizontal="center" vertical="center"/>
    </xf>
    <xf numFmtId="1" fontId="22" fillId="0" borderId="32" xfId="0" applyNumberFormat="1" applyFont="1" applyBorder="1" applyAlignment="1" applyProtection="1">
      <alignment horizontal="center" vertical="center"/>
    </xf>
    <xf numFmtId="178" fontId="22" fillId="0" borderId="33" xfId="0" applyNumberFormat="1" applyFont="1" applyBorder="1" applyAlignment="1" applyProtection="1">
      <alignment horizontal="center" vertical="center"/>
    </xf>
    <xf numFmtId="175" fontId="22" fillId="0" borderId="33" xfId="0" applyNumberFormat="1" applyFont="1" applyBorder="1" applyAlignment="1" applyProtection="1">
      <alignment horizontal="center" vertical="center"/>
    </xf>
    <xf numFmtId="177" fontId="22" fillId="0" borderId="36" xfId="0" applyNumberFormat="1" applyFont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175" fontId="0" fillId="0" borderId="2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27" xfId="0" applyFont="1" applyBorder="1" applyAlignment="1" applyProtection="1">
      <alignment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182" fontId="17" fillId="0" borderId="40" xfId="0" applyNumberFormat="1" applyFont="1" applyFill="1" applyBorder="1" applyAlignment="1">
      <alignment horizontal="center"/>
    </xf>
    <xf numFmtId="182" fontId="17" fillId="0" borderId="41" xfId="0" applyNumberFormat="1" applyFont="1" applyFill="1" applyBorder="1" applyAlignment="1">
      <alignment horizontal="center"/>
    </xf>
    <xf numFmtId="182" fontId="17" fillId="0" borderId="42" xfId="0" applyNumberFormat="1" applyFont="1" applyFill="1" applyBorder="1" applyAlignment="1">
      <alignment horizontal="center"/>
    </xf>
    <xf numFmtId="182" fontId="17" fillId="0" borderId="43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83" fontId="17" fillId="0" borderId="40" xfId="0" applyNumberFormat="1" applyFont="1" applyFill="1" applyBorder="1" applyAlignment="1">
      <alignment horizontal="center"/>
    </xf>
    <xf numFmtId="183" fontId="17" fillId="0" borderId="41" xfId="0" applyNumberFormat="1" applyFont="1" applyFill="1" applyBorder="1" applyAlignment="1">
      <alignment horizontal="center"/>
    </xf>
    <xf numFmtId="183" fontId="17" fillId="0" borderId="42" xfId="0" applyNumberFormat="1" applyFont="1" applyFill="1" applyBorder="1" applyAlignment="1">
      <alignment horizontal="center"/>
    </xf>
    <xf numFmtId="183" fontId="17" fillId="0" borderId="43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182" fontId="17" fillId="0" borderId="48" xfId="0" applyNumberFormat="1" applyFont="1" applyBorder="1" applyAlignment="1">
      <alignment horizontal="center"/>
    </xf>
    <xf numFmtId="182" fontId="17" fillId="0" borderId="49" xfId="0" applyNumberFormat="1" applyFont="1" applyBorder="1" applyAlignment="1">
      <alignment horizontal="center"/>
    </xf>
    <xf numFmtId="182" fontId="17" fillId="0" borderId="50" xfId="0" applyNumberFormat="1" applyFont="1" applyBorder="1" applyAlignment="1">
      <alignment horizontal="center"/>
    </xf>
    <xf numFmtId="182" fontId="17" fillId="0" borderId="51" xfId="0" applyNumberFormat="1" applyFont="1" applyBorder="1" applyAlignment="1">
      <alignment horizontal="center"/>
    </xf>
    <xf numFmtId="183" fontId="17" fillId="0" borderId="48" xfId="0" applyNumberFormat="1" applyFont="1" applyBorder="1" applyAlignment="1">
      <alignment horizontal="center"/>
    </xf>
    <xf numFmtId="183" fontId="17" fillId="0" borderId="49" xfId="0" applyNumberFormat="1" applyFont="1" applyBorder="1" applyAlignment="1">
      <alignment horizontal="center"/>
    </xf>
    <xf numFmtId="183" fontId="17" fillId="0" borderId="50" xfId="0" applyNumberFormat="1" applyFont="1" applyBorder="1" applyAlignment="1">
      <alignment horizontal="center"/>
    </xf>
    <xf numFmtId="183" fontId="17" fillId="0" borderId="51" xfId="0" applyNumberFormat="1" applyFont="1" applyBorder="1" applyAlignment="1">
      <alignment horizontal="center"/>
    </xf>
    <xf numFmtId="182" fontId="17" fillId="0" borderId="56" xfId="0" applyNumberFormat="1" applyFont="1" applyBorder="1" applyAlignment="1">
      <alignment horizontal="center"/>
    </xf>
    <xf numFmtId="182" fontId="17" fillId="0" borderId="57" xfId="0" applyNumberFormat="1" applyFont="1" applyBorder="1" applyAlignment="1">
      <alignment horizontal="center"/>
    </xf>
    <xf numFmtId="182" fontId="17" fillId="0" borderId="58" xfId="0" applyNumberFormat="1" applyFont="1" applyBorder="1" applyAlignment="1">
      <alignment horizontal="center"/>
    </xf>
    <xf numFmtId="182" fontId="17" fillId="0" borderId="59" xfId="0" applyNumberFormat="1" applyFont="1" applyBorder="1" applyAlignment="1">
      <alignment horizontal="center"/>
    </xf>
    <xf numFmtId="183" fontId="17" fillId="0" borderId="56" xfId="0" applyNumberFormat="1" applyFont="1" applyBorder="1" applyAlignment="1">
      <alignment horizontal="center"/>
    </xf>
    <xf numFmtId="183" fontId="17" fillId="0" borderId="57" xfId="0" applyNumberFormat="1" applyFont="1" applyBorder="1" applyAlignment="1">
      <alignment horizontal="center"/>
    </xf>
    <xf numFmtId="183" fontId="17" fillId="0" borderId="58" xfId="0" applyNumberFormat="1" applyFont="1" applyBorder="1" applyAlignment="1">
      <alignment horizontal="center"/>
    </xf>
    <xf numFmtId="183" fontId="17" fillId="0" borderId="59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82" fontId="32" fillId="0" borderId="0" xfId="0" applyNumberFormat="1" applyFont="1" applyAlignment="1">
      <alignment horizontal="left" vertical="top" wrapText="1"/>
    </xf>
    <xf numFmtId="182" fontId="32" fillId="0" borderId="0" xfId="0" applyNumberFormat="1" applyFont="1" applyAlignment="1">
      <alignment horizontal="center" vertical="top"/>
    </xf>
    <xf numFmtId="184" fontId="33" fillId="0" borderId="0" xfId="0" applyNumberFormat="1" applyFont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184" fontId="27" fillId="0" borderId="0" xfId="0" applyNumberFormat="1" applyFont="1" applyAlignment="1">
      <alignment horizontal="left"/>
    </xf>
    <xf numFmtId="0" fontId="34" fillId="0" borderId="2" xfId="0" applyFont="1" applyBorder="1"/>
    <xf numFmtId="0" fontId="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182" fontId="17" fillId="0" borderId="0" xfId="0" applyNumberFormat="1" applyFont="1" applyFill="1" applyBorder="1" applyAlignment="1">
      <alignment horizontal="center"/>
    </xf>
    <xf numFmtId="0" fontId="35" fillId="0" borderId="0" xfId="0" applyFont="1" applyAlignment="1">
      <alignment horizontal="right" vertical="center"/>
    </xf>
    <xf numFmtId="1" fontId="4" fillId="0" borderId="4" xfId="0" applyNumberFormat="1" applyFont="1" applyBorder="1" applyAlignment="1">
      <alignment horizontal="right"/>
    </xf>
    <xf numFmtId="1" fontId="4" fillId="0" borderId="3" xfId="0" applyNumberFormat="1" applyFont="1" applyBorder="1"/>
    <xf numFmtId="175" fontId="4" fillId="0" borderId="3" xfId="0" applyNumberFormat="1" applyFont="1" applyBorder="1"/>
    <xf numFmtId="175" fontId="4" fillId="0" borderId="4" xfId="0" applyNumberFormat="1" applyFont="1" applyBorder="1"/>
    <xf numFmtId="0" fontId="4" fillId="0" borderId="31" xfId="0" applyFont="1" applyBorder="1" applyAlignment="1">
      <alignment horizontal="center"/>
    </xf>
    <xf numFmtId="177" fontId="17" fillId="0" borderId="29" xfId="0" applyNumberFormat="1" applyFont="1" applyBorder="1"/>
    <xf numFmtId="177" fontId="17" fillId="0" borderId="31" xfId="0" applyNumberFormat="1" applyFont="1" applyBorder="1"/>
    <xf numFmtId="177" fontId="17" fillId="0" borderId="16" xfId="0" applyNumberFormat="1" applyFont="1" applyBorder="1"/>
    <xf numFmtId="177" fontId="17" fillId="0" borderId="17" xfId="0" applyNumberFormat="1" applyFont="1" applyBorder="1"/>
    <xf numFmtId="0" fontId="4" fillId="0" borderId="29" xfId="0" applyFont="1" applyBorder="1" applyAlignment="1">
      <alignment horizontal="center"/>
    </xf>
    <xf numFmtId="177" fontId="17" fillId="0" borderId="0" xfId="0" applyNumberFormat="1" applyFont="1" applyBorder="1"/>
    <xf numFmtId="177" fontId="17" fillId="0" borderId="27" xfId="0" applyNumberFormat="1" applyFont="1" applyBorder="1"/>
    <xf numFmtId="0" fontId="4" fillId="0" borderId="36" xfId="0" applyFont="1" applyBorder="1" applyAlignment="1">
      <alignment horizontal="center"/>
    </xf>
    <xf numFmtId="177" fontId="17" fillId="0" borderId="36" xfId="0" applyNumberFormat="1" applyFont="1" applyBorder="1"/>
    <xf numFmtId="177" fontId="17" fillId="0" borderId="24" xfId="0" applyNumberFormat="1" applyFont="1" applyBorder="1"/>
    <xf numFmtId="177" fontId="17" fillId="0" borderId="33" xfId="0" applyNumberFormat="1" applyFont="1" applyBorder="1"/>
    <xf numFmtId="177" fontId="33" fillId="0" borderId="31" xfId="0" applyNumberFormat="1" applyFont="1" applyBorder="1"/>
    <xf numFmtId="177" fontId="33" fillId="0" borderId="0" xfId="0" applyNumberFormat="1" applyFont="1"/>
    <xf numFmtId="177" fontId="33" fillId="0" borderId="4" xfId="0" applyNumberFormat="1" applyFont="1" applyBorder="1"/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185" fontId="4" fillId="0" borderId="25" xfId="0" applyNumberFormat="1" applyFont="1" applyBorder="1"/>
    <xf numFmtId="185" fontId="0" fillId="0" borderId="24" xfId="0" applyNumberFormat="1" applyBorder="1"/>
    <xf numFmtId="0" fontId="36" fillId="0" borderId="24" xfId="0" applyFont="1" applyBorder="1"/>
    <xf numFmtId="185" fontId="0" fillId="0" borderId="0" xfId="0" applyNumberFormat="1"/>
    <xf numFmtId="0" fontId="4" fillId="0" borderId="0" xfId="0" applyFont="1" applyFill="1" applyBorder="1" applyAlignment="1">
      <alignment horizontal="right"/>
    </xf>
    <xf numFmtId="185" fontId="0" fillId="0" borderId="16" xfId="0" applyNumberFormat="1" applyBorder="1"/>
    <xf numFmtId="185" fontId="0" fillId="0" borderId="17" xfId="0" applyNumberFormat="1" applyBorder="1"/>
    <xf numFmtId="185" fontId="0" fillId="0" borderId="0" xfId="0" applyNumberFormat="1" applyBorder="1"/>
    <xf numFmtId="185" fontId="0" fillId="0" borderId="27" xfId="0" applyNumberFormat="1" applyBorder="1"/>
    <xf numFmtId="0" fontId="0" fillId="0" borderId="0" xfId="0" applyBorder="1"/>
    <xf numFmtId="0" fontId="0" fillId="0" borderId="27" xfId="0" applyBorder="1"/>
    <xf numFmtId="0" fontId="0" fillId="0" borderId="33" xfId="0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30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32" xfId="0" applyFont="1" applyBorder="1"/>
    <xf numFmtId="0" fontId="3" fillId="0" borderId="24" xfId="0" applyFont="1" applyBorder="1"/>
    <xf numFmtId="0" fontId="3" fillId="0" borderId="33" xfId="0" applyFont="1" applyBorder="1"/>
    <xf numFmtId="186" fontId="8" fillId="0" borderId="0" xfId="0" applyNumberFormat="1" applyFont="1" applyAlignment="1" applyProtection="1">
      <alignment horizontal="right" wrapText="1"/>
      <protection locked="0"/>
    </xf>
    <xf numFmtId="187" fontId="8" fillId="0" borderId="0" xfId="0" applyNumberFormat="1" applyFont="1" applyAlignment="1" applyProtection="1">
      <alignment horizontal="right" wrapText="1"/>
      <protection locked="0"/>
    </xf>
    <xf numFmtId="177" fontId="22" fillId="0" borderId="30" xfId="0" applyNumberFormat="1" applyFont="1" applyBorder="1" applyAlignment="1" applyProtection="1">
      <alignment vertical="center"/>
    </xf>
    <xf numFmtId="177" fontId="22" fillId="0" borderId="27" xfId="0" applyNumberFormat="1" applyFont="1" applyBorder="1" applyAlignment="1" applyProtection="1">
      <alignment vertical="center"/>
    </xf>
    <xf numFmtId="177" fontId="2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76" fontId="21" fillId="0" borderId="3" xfId="1" applyNumberFormat="1" applyFont="1" applyBorder="1" applyAlignment="1" applyProtection="1">
      <alignment horizontal="right" vertical="center"/>
    </xf>
    <xf numFmtId="176" fontId="22" fillId="0" borderId="30" xfId="1" applyNumberFormat="1" applyFont="1" applyBorder="1" applyAlignment="1" applyProtection="1">
      <alignment horizontal="center" vertical="center"/>
    </xf>
    <xf numFmtId="176" fontId="22" fillId="0" borderId="0" xfId="1" applyNumberFormat="1" applyFont="1" applyAlignment="1" applyProtection="1">
      <alignment horizontal="center" vertical="center"/>
    </xf>
    <xf numFmtId="176" fontId="22" fillId="0" borderId="27" xfId="1" applyNumberFormat="1" applyFont="1" applyBorder="1" applyAlignment="1" applyProtection="1">
      <alignment horizontal="center" vertical="center"/>
    </xf>
    <xf numFmtId="188" fontId="17" fillId="0" borderId="0" xfId="0" applyNumberFormat="1" applyFont="1" applyAlignment="1">
      <alignment horizontal="right" wrapText="1"/>
    </xf>
    <xf numFmtId="187" fontId="17" fillId="0" borderId="0" xfId="2" applyNumberFormat="1" applyFont="1" applyAlignment="1">
      <alignment horizontal="right" wrapText="1"/>
    </xf>
    <xf numFmtId="0" fontId="38" fillId="0" borderId="0" xfId="0" applyFont="1" applyAlignment="1">
      <alignment horizontal="left"/>
    </xf>
    <xf numFmtId="2" fontId="39" fillId="0" borderId="24" xfId="0" applyNumberFormat="1" applyFont="1" applyBorder="1" applyAlignment="1">
      <alignment horizontal="right"/>
    </xf>
    <xf numFmtId="0" fontId="38" fillId="0" borderId="0" xfId="0" applyFont="1" applyAlignment="1"/>
    <xf numFmtId="175" fontId="38" fillId="0" borderId="0" xfId="0" applyNumberFormat="1" applyFont="1" applyAlignment="1"/>
    <xf numFmtId="1" fontId="7" fillId="0" borderId="0" xfId="0" applyNumberFormat="1" applyFont="1" applyAlignment="1">
      <alignment horizontal="center"/>
    </xf>
    <xf numFmtId="1" fontId="4" fillId="0" borderId="25" xfId="0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177" fontId="33" fillId="0" borderId="17" xfId="0" applyNumberFormat="1" applyFont="1" applyBorder="1"/>
    <xf numFmtId="0" fontId="7" fillId="0" borderId="2" xfId="0" applyFont="1" applyBorder="1" applyAlignment="1">
      <alignment horizontal="right"/>
    </xf>
    <xf numFmtId="177" fontId="33" fillId="0" borderId="3" xfId="0" applyNumberFormat="1" applyFont="1" applyBorder="1"/>
    <xf numFmtId="177" fontId="7" fillId="0" borderId="4" xfId="0" applyNumberFormat="1" applyFont="1" applyBorder="1" applyAlignment="1">
      <alignment horizontal="right"/>
    </xf>
    <xf numFmtId="177" fontId="33" fillId="0" borderId="16" xfId="0" applyNumberFormat="1" applyFont="1" applyBorder="1"/>
    <xf numFmtId="0" fontId="4" fillId="0" borderId="30" xfId="0" applyFont="1" applyBorder="1" applyAlignment="1">
      <alignment horizontal="center"/>
    </xf>
    <xf numFmtId="177" fontId="7" fillId="0" borderId="27" xfId="0" applyNumberFormat="1" applyFont="1" applyBorder="1" applyAlignment="1">
      <alignment horizontal="right"/>
    </xf>
    <xf numFmtId="177" fontId="8" fillId="0" borderId="25" xfId="0" applyNumberFormat="1" applyFont="1" applyBorder="1" applyAlignment="1" applyProtection="1">
      <alignment vertical="center"/>
      <protection locked="0"/>
    </xf>
    <xf numFmtId="185" fontId="0" fillId="0" borderId="24" xfId="0" applyNumberFormat="1" applyFont="1" applyBorder="1"/>
    <xf numFmtId="185" fontId="4" fillId="0" borderId="15" xfId="0" applyNumberFormat="1" applyFont="1" applyBorder="1"/>
    <xf numFmtId="185" fontId="4" fillId="0" borderId="30" xfId="0" applyNumberFormat="1" applyFont="1" applyBorder="1"/>
    <xf numFmtId="0" fontId="6" fillId="0" borderId="0" xfId="0" applyFont="1" applyBorder="1"/>
    <xf numFmtId="189" fontId="4" fillId="0" borderId="32" xfId="0" applyNumberFormat="1" applyFont="1" applyBorder="1"/>
    <xf numFmtId="0" fontId="6" fillId="0" borderId="24" xfId="0" applyFont="1" applyBorder="1"/>
    <xf numFmtId="175" fontId="0" fillId="0" borderId="24" xfId="0" applyNumberFormat="1" applyFont="1" applyBorder="1" applyAlignment="1" applyProtection="1">
      <alignment horizontal="right" vertical="center"/>
    </xf>
    <xf numFmtId="190" fontId="17" fillId="0" borderId="40" xfId="0" applyNumberFormat="1" applyFont="1" applyFill="1" applyBorder="1" applyAlignment="1">
      <alignment horizontal="center"/>
    </xf>
    <xf numFmtId="190" fontId="17" fillId="0" borderId="41" xfId="0" applyNumberFormat="1" applyFont="1" applyFill="1" applyBorder="1" applyAlignment="1">
      <alignment horizontal="center"/>
    </xf>
    <xf numFmtId="190" fontId="17" fillId="0" borderId="42" xfId="0" applyNumberFormat="1" applyFont="1" applyFill="1" applyBorder="1" applyAlignment="1">
      <alignment horizontal="center"/>
    </xf>
    <xf numFmtId="190" fontId="17" fillId="0" borderId="43" xfId="0" applyNumberFormat="1" applyFont="1" applyFill="1" applyBorder="1" applyAlignment="1">
      <alignment horizontal="center"/>
    </xf>
    <xf numFmtId="190" fontId="17" fillId="0" borderId="48" xfId="0" applyNumberFormat="1" applyFont="1" applyBorder="1" applyAlignment="1">
      <alignment horizontal="center"/>
    </xf>
    <xf numFmtId="190" fontId="17" fillId="0" borderId="49" xfId="0" applyNumberFormat="1" applyFont="1" applyBorder="1" applyAlignment="1">
      <alignment horizontal="center"/>
    </xf>
    <xf numFmtId="190" fontId="17" fillId="0" borderId="50" xfId="0" applyNumberFormat="1" applyFont="1" applyBorder="1" applyAlignment="1">
      <alignment horizontal="center"/>
    </xf>
    <xf numFmtId="190" fontId="17" fillId="0" borderId="51" xfId="0" applyNumberFormat="1" applyFont="1" applyBorder="1" applyAlignment="1">
      <alignment horizontal="center"/>
    </xf>
    <xf numFmtId="190" fontId="17" fillId="0" borderId="56" xfId="0" applyNumberFormat="1" applyFont="1" applyBorder="1" applyAlignment="1">
      <alignment horizontal="center"/>
    </xf>
    <xf numFmtId="190" fontId="17" fillId="0" borderId="57" xfId="0" applyNumberFormat="1" applyFont="1" applyBorder="1" applyAlignment="1">
      <alignment horizontal="center"/>
    </xf>
    <xf numFmtId="190" fontId="17" fillId="0" borderId="58" xfId="0" applyNumberFormat="1" applyFont="1" applyBorder="1" applyAlignment="1">
      <alignment horizontal="center"/>
    </xf>
    <xf numFmtId="190" fontId="17" fillId="0" borderId="59" xfId="0" applyNumberFormat="1" applyFont="1" applyBorder="1" applyAlignment="1">
      <alignment horizontal="center"/>
    </xf>
    <xf numFmtId="190" fontId="33" fillId="0" borderId="0" xfId="0" applyNumberFormat="1" applyFont="1" applyAlignment="1">
      <alignment horizontal="center" vertical="top"/>
    </xf>
    <xf numFmtId="190" fontId="4" fillId="0" borderId="0" xfId="0" applyNumberFormat="1" applyFont="1" applyAlignment="1">
      <alignment horizontal="center"/>
    </xf>
    <xf numFmtId="190" fontId="4" fillId="3" borderId="3" xfId="0" applyNumberFormat="1" applyFont="1" applyFill="1" applyBorder="1" applyAlignment="1">
      <alignment horizontal="center"/>
    </xf>
    <xf numFmtId="190" fontId="4" fillId="3" borderId="3" xfId="0" applyNumberFormat="1" applyFont="1" applyFill="1" applyBorder="1"/>
    <xf numFmtId="190" fontId="0" fillId="0" borderId="0" xfId="0" applyNumberFormat="1" applyAlignment="1">
      <alignment horizontal="center"/>
    </xf>
    <xf numFmtId="183" fontId="33" fillId="0" borderId="0" xfId="0" applyNumberFormat="1" applyFont="1" applyAlignment="1">
      <alignment horizontal="center" vertical="top"/>
    </xf>
    <xf numFmtId="182" fontId="33" fillId="0" borderId="0" xfId="0" applyNumberFormat="1" applyFont="1" applyAlignment="1">
      <alignment horizontal="left" vertical="top" wrapText="1"/>
    </xf>
    <xf numFmtId="191" fontId="17" fillId="0" borderId="0" xfId="0" applyNumberFormat="1" applyFont="1" applyAlignment="1">
      <alignment horizontal="right" wrapText="1"/>
    </xf>
    <xf numFmtId="192" fontId="17" fillId="0" borderId="0" xfId="0" applyNumberFormat="1" applyFont="1" applyAlignment="1">
      <alignment horizontal="right" wrapText="1"/>
    </xf>
    <xf numFmtId="193" fontId="17" fillId="0" borderId="0" xfId="0" applyNumberFormat="1" applyFont="1" applyAlignment="1">
      <alignment horizontal="right" wrapText="1"/>
    </xf>
    <xf numFmtId="0" fontId="2" fillId="3" borderId="15" xfId="0" applyFont="1" applyFill="1" applyBorder="1" applyAlignment="1">
      <alignment horizontal="centerContinuous" vertical="center"/>
    </xf>
    <xf numFmtId="0" fontId="2" fillId="3" borderId="16" xfId="0" applyFont="1" applyFill="1" applyBorder="1" applyAlignment="1">
      <alignment horizontal="centerContinuous" vertical="center"/>
    </xf>
    <xf numFmtId="0" fontId="2" fillId="3" borderId="6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195" fontId="17" fillId="0" borderId="24" xfId="0" applyNumberFormat="1" applyFont="1" applyBorder="1" applyAlignment="1">
      <alignment horizontal="center" vertical="center"/>
    </xf>
    <xf numFmtId="195" fontId="17" fillId="0" borderId="32" xfId="0" applyNumberFormat="1" applyFont="1" applyBorder="1" applyAlignment="1">
      <alignment horizontal="center" vertical="center"/>
    </xf>
    <xf numFmtId="195" fontId="17" fillId="0" borderId="33" xfId="0" applyNumberFormat="1" applyFont="1" applyBorder="1" applyAlignment="1">
      <alignment horizontal="center" vertical="center"/>
    </xf>
    <xf numFmtId="195" fontId="0" fillId="0" borderId="24" xfId="0" applyNumberFormat="1" applyBorder="1" applyAlignment="1">
      <alignment horizontal="center" vertical="center"/>
    </xf>
    <xf numFmtId="195" fontId="0" fillId="5" borderId="31" xfId="0" applyNumberFormat="1" applyFill="1" applyBorder="1" applyAlignment="1">
      <alignment horizontal="center" vertical="center"/>
    </xf>
    <xf numFmtId="195" fontId="0" fillId="0" borderId="36" xfId="0" applyNumberFormat="1" applyFont="1" applyBorder="1" applyAlignment="1">
      <alignment horizontal="center" vertical="center"/>
    </xf>
    <xf numFmtId="196" fontId="4" fillId="0" borderId="31" xfId="0" applyNumberFormat="1" applyFont="1" applyBorder="1" applyAlignment="1">
      <alignment vertical="center"/>
    </xf>
    <xf numFmtId="196" fontId="8" fillId="0" borderId="16" xfId="0" applyNumberFormat="1" applyFont="1" applyBorder="1" applyAlignment="1" applyProtection="1">
      <alignment vertical="center"/>
      <protection locked="0"/>
    </xf>
    <xf numFmtId="196" fontId="8" fillId="0" borderId="15" xfId="0" applyNumberFormat="1" applyFont="1" applyFill="1" applyBorder="1" applyAlignment="1" applyProtection="1">
      <alignment vertical="center"/>
      <protection locked="0"/>
    </xf>
    <xf numFmtId="196" fontId="8" fillId="0" borderId="16" xfId="0" applyNumberFormat="1" applyFont="1" applyFill="1" applyBorder="1" applyAlignment="1" applyProtection="1">
      <alignment vertical="center"/>
      <protection locked="0"/>
    </xf>
    <xf numFmtId="196" fontId="8" fillId="0" borderId="15" xfId="0" applyNumberFormat="1" applyFont="1" applyBorder="1" applyAlignment="1" applyProtection="1">
      <alignment vertical="center"/>
      <protection locked="0"/>
    </xf>
    <xf numFmtId="196" fontId="8" fillId="0" borderId="17" xfId="0" applyNumberFormat="1" applyFont="1" applyBorder="1" applyAlignment="1" applyProtection="1">
      <alignment vertical="center"/>
      <protection locked="0"/>
    </xf>
    <xf numFmtId="196" fontId="8" fillId="5" borderId="32" xfId="0" applyNumberFormat="1" applyFont="1" applyFill="1" applyBorder="1" applyAlignment="1">
      <alignment vertical="center"/>
    </xf>
    <xf numFmtId="0" fontId="0" fillId="0" borderId="33" xfId="0" applyBorder="1" applyAlignment="1">
      <alignment horizontal="right" vertical="center"/>
    </xf>
    <xf numFmtId="197" fontId="4" fillId="0" borderId="36" xfId="0" applyNumberFormat="1" applyFont="1" applyBorder="1" applyAlignment="1">
      <alignment horizontal="center" vertical="center"/>
    </xf>
    <xf numFmtId="197" fontId="8" fillId="0" borderId="24" xfId="0" applyNumberFormat="1" applyFont="1" applyBorder="1" applyAlignment="1" applyProtection="1">
      <alignment horizontal="center" vertical="center"/>
      <protection locked="0"/>
    </xf>
    <xf numFmtId="197" fontId="8" fillId="0" borderId="32" xfId="0" applyNumberFormat="1" applyFont="1" applyBorder="1" applyAlignment="1" applyProtection="1">
      <alignment horizontal="center" vertical="center"/>
      <protection locked="0"/>
    </xf>
    <xf numFmtId="197" fontId="8" fillId="0" borderId="33" xfId="0" applyNumberFormat="1" applyFont="1" applyBorder="1" applyAlignment="1" applyProtection="1">
      <alignment horizontal="center" vertical="center"/>
      <protection locked="0"/>
    </xf>
    <xf numFmtId="195" fontId="8" fillId="0" borderId="36" xfId="0" applyNumberFormat="1" applyFont="1" applyBorder="1" applyAlignment="1" applyProtection="1">
      <alignment horizontal="center" vertical="center"/>
      <protection locked="0"/>
    </xf>
    <xf numFmtId="196" fontId="8" fillId="5" borderId="36" xfId="0" applyNumberFormat="1" applyFont="1" applyFill="1" applyBorder="1" applyAlignment="1">
      <alignment vertical="center"/>
    </xf>
    <xf numFmtId="195" fontId="4" fillId="0" borderId="29" xfId="0" applyNumberFormat="1" applyFont="1" applyBorder="1" applyAlignment="1">
      <alignment horizontal="center" vertical="center"/>
    </xf>
    <xf numFmtId="195" fontId="0" fillId="0" borderId="0" xfId="0" applyNumberFormat="1" applyBorder="1" applyAlignment="1">
      <alignment horizontal="center" vertical="center"/>
    </xf>
    <xf numFmtId="195" fontId="0" fillId="0" borderId="30" xfId="0" applyNumberFormat="1" applyBorder="1" applyAlignment="1">
      <alignment horizontal="center" vertical="center"/>
    </xf>
    <xf numFmtId="195" fontId="0" fillId="0" borderId="27" xfId="0" applyNumberFormat="1" applyBorder="1" applyAlignment="1">
      <alignment horizontal="center" vertical="center"/>
    </xf>
    <xf numFmtId="195" fontId="0" fillId="0" borderId="4" xfId="0" applyNumberFormat="1" applyFont="1" applyBorder="1" applyAlignment="1">
      <alignment horizontal="center" vertical="center"/>
    </xf>
    <xf numFmtId="196" fontId="7" fillId="0" borderId="36" xfId="0" applyNumberFormat="1" applyFont="1" applyBorder="1" applyAlignment="1">
      <alignment vertical="center"/>
    </xf>
    <xf numFmtId="198" fontId="6" fillId="0" borderId="24" xfId="0" applyNumberFormat="1" applyFont="1" applyBorder="1" applyAlignment="1">
      <alignment horizontal="right" vertical="center"/>
    </xf>
    <xf numFmtId="198" fontId="6" fillId="0" borderId="32" xfId="0" applyNumberFormat="1" applyFont="1" applyBorder="1" applyAlignment="1">
      <alignment horizontal="right" vertical="center"/>
    </xf>
    <xf numFmtId="198" fontId="6" fillId="0" borderId="33" xfId="0" applyNumberFormat="1" applyFont="1" applyBorder="1" applyAlignment="1">
      <alignment horizontal="right" vertical="center"/>
    </xf>
    <xf numFmtId="196" fontId="6" fillId="5" borderId="2" xfId="0" applyNumberFormat="1" applyFont="1" applyFill="1" applyBorder="1" applyAlignment="1">
      <alignment horizontal="right" vertical="center"/>
    </xf>
    <xf numFmtId="196" fontId="6" fillId="5" borderId="4" xfId="0" applyNumberFormat="1" applyFont="1" applyFill="1" applyBorder="1" applyAlignment="1">
      <alignment horizontal="right" vertical="center"/>
    </xf>
    <xf numFmtId="199" fontId="6" fillId="0" borderId="24" xfId="0" applyNumberFormat="1" applyFont="1" applyBorder="1" applyAlignment="1">
      <alignment vertical="center"/>
    </xf>
    <xf numFmtId="198" fontId="6" fillId="0" borderId="0" xfId="0" applyNumberFormat="1" applyFont="1" applyBorder="1" applyAlignment="1">
      <alignment horizontal="right" vertical="center"/>
    </xf>
    <xf numFmtId="0" fontId="40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196" fontId="16" fillId="0" borderId="15" xfId="0" applyNumberFormat="1" applyFont="1" applyBorder="1" applyAlignment="1">
      <alignment vertical="center"/>
    </xf>
    <xf numFmtId="196" fontId="41" fillId="0" borderId="17" xfId="0" applyNumberFormat="1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98" fontId="6" fillId="0" borderId="16" xfId="0" applyNumberFormat="1" applyFont="1" applyBorder="1" applyAlignment="1">
      <alignment horizontal="right" vertical="center"/>
    </xf>
    <xf numFmtId="198" fontId="6" fillId="0" borderId="65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9" fontId="16" fillId="0" borderId="30" xfId="3" applyFont="1" applyBorder="1" applyAlignment="1">
      <alignment horizontal="right" vertical="center"/>
    </xf>
    <xf numFmtId="9" fontId="41" fillId="0" borderId="27" xfId="0" applyNumberFormat="1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39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199" fontId="16" fillId="0" borderId="30" xfId="0" applyNumberFormat="1" applyFont="1" applyBorder="1" applyAlignment="1">
      <alignment vertical="center"/>
    </xf>
    <xf numFmtId="201" fontId="41" fillId="0" borderId="27" xfId="0" applyNumberFormat="1" applyFont="1" applyBorder="1" applyAlignment="1">
      <alignment horizontal="left" vertical="center"/>
    </xf>
    <xf numFmtId="0" fontId="0" fillId="0" borderId="24" xfId="0" applyBorder="1" applyAlignment="1">
      <alignment horizontal="right" vertical="center"/>
    </xf>
    <xf numFmtId="9" fontId="15" fillId="0" borderId="24" xfId="3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0" fillId="0" borderId="68" xfId="0" applyBorder="1" applyAlignment="1">
      <alignment vertical="center"/>
    </xf>
    <xf numFmtId="199" fontId="16" fillId="0" borderId="32" xfId="0" applyNumberFormat="1" applyFont="1" applyBorder="1" applyAlignment="1">
      <alignment horizontal="right" vertical="center"/>
    </xf>
    <xf numFmtId="201" fontId="41" fillId="0" borderId="33" xfId="0" applyNumberFormat="1" applyFont="1" applyBorder="1" applyAlignment="1">
      <alignment horizontal="left" vertical="center"/>
    </xf>
    <xf numFmtId="9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9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202" fontId="0" fillId="0" borderId="16" xfId="0" applyNumberFormat="1" applyBorder="1" applyAlignment="1">
      <alignment horizontal="center" vertical="center"/>
    </xf>
    <xf numFmtId="202" fontId="0" fillId="0" borderId="15" xfId="0" applyNumberFormat="1" applyBorder="1" applyAlignment="1">
      <alignment horizontal="center" vertical="center"/>
    </xf>
    <xf numFmtId="202" fontId="0" fillId="0" borderId="17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201" fontId="7" fillId="0" borderId="24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201" fontId="4" fillId="0" borderId="24" xfId="0" applyNumberFormat="1" applyFont="1" applyBorder="1" applyAlignment="1">
      <alignment horizontal="right" vertical="center"/>
    </xf>
    <xf numFmtId="9" fontId="4" fillId="0" borderId="36" xfId="3" applyFont="1" applyBorder="1" applyAlignment="1">
      <alignment vertical="center"/>
    </xf>
    <xf numFmtId="203" fontId="4" fillId="0" borderId="24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95" fontId="0" fillId="0" borderId="32" xfId="0" applyNumberFormat="1" applyBorder="1" applyAlignment="1">
      <alignment horizontal="center" vertical="center"/>
    </xf>
    <xf numFmtId="195" fontId="0" fillId="0" borderId="33" xfId="0" applyNumberFormat="1" applyBorder="1" applyAlignment="1">
      <alignment horizontal="center" vertical="center"/>
    </xf>
    <xf numFmtId="0" fontId="8" fillId="0" borderId="30" xfId="0" applyFont="1" applyBorder="1" applyAlignment="1" applyProtection="1">
      <alignment vertical="center"/>
      <protection locked="0"/>
    </xf>
    <xf numFmtId="201" fontId="8" fillId="0" borderId="0" xfId="0" applyNumberFormat="1" applyFont="1" applyBorder="1" applyAlignment="1" applyProtection="1">
      <alignment vertical="center"/>
      <protection locked="0"/>
    </xf>
    <xf numFmtId="204" fontId="0" fillId="0" borderId="15" xfId="0" applyNumberFormat="1" applyFont="1" applyBorder="1" applyAlignment="1">
      <alignment vertical="center"/>
    </xf>
    <xf numFmtId="205" fontId="0" fillId="0" borderId="31" xfId="3" applyNumberFormat="1" applyFont="1" applyBorder="1" applyAlignment="1">
      <alignment vertical="center"/>
    </xf>
    <xf numFmtId="206" fontId="0" fillId="0" borderId="16" xfId="0" applyNumberFormat="1" applyFont="1" applyFill="1" applyBorder="1" applyAlignment="1">
      <alignment vertical="center"/>
    </xf>
    <xf numFmtId="175" fontId="0" fillId="0" borderId="16" xfId="0" applyNumberFormat="1" applyFont="1" applyBorder="1" applyAlignment="1">
      <alignment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204" fontId="0" fillId="0" borderId="30" xfId="0" applyNumberFormat="1" applyFont="1" applyBorder="1" applyAlignment="1">
      <alignment vertical="center"/>
    </xf>
    <xf numFmtId="205" fontId="0" fillId="0" borderId="29" xfId="3" applyNumberFormat="1" applyFont="1" applyBorder="1" applyAlignment="1">
      <alignment vertical="center"/>
    </xf>
    <xf numFmtId="206" fontId="0" fillId="0" borderId="0" xfId="0" applyNumberFormat="1" applyFont="1" applyFill="1" applyBorder="1" applyAlignment="1">
      <alignment vertical="center"/>
    </xf>
    <xf numFmtId="175" fontId="0" fillId="0" borderId="0" xfId="0" applyNumberFormat="1" applyFont="1" applyBorder="1" applyAlignment="1">
      <alignment vertical="center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204" fontId="0" fillId="0" borderId="30" xfId="0" applyNumberFormat="1" applyFont="1" applyFill="1" applyBorder="1" applyAlignment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204" fontId="0" fillId="0" borderId="32" xfId="0" applyNumberFormat="1" applyFont="1" applyBorder="1" applyAlignment="1">
      <alignment vertical="center"/>
    </xf>
    <xf numFmtId="205" fontId="0" fillId="0" borderId="36" xfId="3" applyNumberFormat="1" applyFont="1" applyBorder="1" applyAlignment="1">
      <alignment vertical="center"/>
    </xf>
    <xf numFmtId="175" fontId="0" fillId="0" borderId="24" xfId="0" applyNumberFormat="1" applyFont="1" applyBorder="1" applyAlignment="1">
      <alignment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94" fontId="8" fillId="0" borderId="24" xfId="0" applyNumberFormat="1" applyFont="1" applyBorder="1" applyAlignment="1" applyProtection="1">
      <alignment horizontal="center" vertical="center"/>
      <protection locked="0"/>
    </xf>
    <xf numFmtId="0" fontId="0" fillId="0" borderId="70" xfId="0" applyBorder="1" applyAlignment="1">
      <alignment vertical="center"/>
    </xf>
    <xf numFmtId="206" fontId="0" fillId="0" borderId="32" xfId="0" applyNumberFormat="1" applyFont="1" applyFill="1" applyBorder="1" applyAlignment="1">
      <alignment vertical="center"/>
    </xf>
    <xf numFmtId="195" fontId="33" fillId="0" borderId="29" xfId="0" applyNumberFormat="1" applyFont="1" applyBorder="1" applyAlignment="1">
      <alignment horizontal="center" vertical="center"/>
    </xf>
    <xf numFmtId="0" fontId="6" fillId="0" borderId="66" xfId="0" applyFont="1" applyBorder="1"/>
    <xf numFmtId="0" fontId="7" fillId="0" borderId="13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82" fontId="17" fillId="0" borderId="44" xfId="0" applyNumberFormat="1" applyFont="1" applyBorder="1" applyAlignment="1">
      <alignment horizontal="center" vertical="center"/>
    </xf>
    <xf numFmtId="182" fontId="17" fillId="0" borderId="52" xfId="0" applyNumberFormat="1" applyFont="1" applyBorder="1" applyAlignment="1">
      <alignment horizontal="center" vertical="center"/>
    </xf>
    <xf numFmtId="182" fontId="17" fillId="0" borderId="60" xfId="0" applyNumberFormat="1" applyFont="1" applyBorder="1" applyAlignment="1">
      <alignment horizontal="center" vertical="center"/>
    </xf>
    <xf numFmtId="182" fontId="17" fillId="0" borderId="47" xfId="0" applyNumberFormat="1" applyFont="1" applyBorder="1" applyAlignment="1">
      <alignment horizontal="center" vertical="center"/>
    </xf>
    <xf numFmtId="182" fontId="17" fillId="0" borderId="55" xfId="0" applyNumberFormat="1" applyFont="1" applyBorder="1" applyAlignment="1">
      <alignment horizontal="center" vertical="center"/>
    </xf>
    <xf numFmtId="182" fontId="17" fillId="0" borderId="63" xfId="0" applyNumberFormat="1" applyFont="1" applyBorder="1" applyAlignment="1">
      <alignment horizontal="center" vertical="center"/>
    </xf>
    <xf numFmtId="182" fontId="17" fillId="0" borderId="40" xfId="0" applyNumberFormat="1" applyFont="1" applyBorder="1" applyAlignment="1">
      <alignment horizontal="center" vertical="center"/>
    </xf>
    <xf numFmtId="182" fontId="17" fillId="0" borderId="48" xfId="0" applyNumberFormat="1" applyFont="1" applyBorder="1" applyAlignment="1">
      <alignment horizontal="center" vertical="center"/>
    </xf>
    <xf numFmtId="182" fontId="17" fillId="0" borderId="56" xfId="0" applyNumberFormat="1" applyFont="1" applyBorder="1" applyAlignment="1">
      <alignment horizontal="center" vertical="center"/>
    </xf>
    <xf numFmtId="182" fontId="17" fillId="0" borderId="43" xfId="0" applyNumberFormat="1" applyFont="1" applyBorder="1" applyAlignment="1">
      <alignment horizontal="center" vertical="center"/>
    </xf>
    <xf numFmtId="182" fontId="17" fillId="0" borderId="51" xfId="0" applyNumberFormat="1" applyFont="1" applyBorder="1" applyAlignment="1">
      <alignment horizontal="center" vertical="center"/>
    </xf>
    <xf numFmtId="182" fontId="17" fillId="0" borderId="59" xfId="0" applyNumberFormat="1" applyFont="1" applyBorder="1" applyAlignment="1">
      <alignment horizontal="center" vertical="center"/>
    </xf>
    <xf numFmtId="182" fontId="17" fillId="0" borderId="44" xfId="0" applyNumberFormat="1" applyFont="1" applyFill="1" applyBorder="1" applyAlignment="1">
      <alignment horizontal="center" vertical="center"/>
    </xf>
    <xf numFmtId="182" fontId="17" fillId="0" borderId="52" xfId="0" applyNumberFormat="1" applyFont="1" applyFill="1" applyBorder="1" applyAlignment="1">
      <alignment horizontal="center" vertical="center"/>
    </xf>
    <xf numFmtId="182" fontId="17" fillId="0" borderId="60" xfId="0" applyNumberFormat="1" applyFont="1" applyFill="1" applyBorder="1" applyAlignment="1">
      <alignment horizontal="center" vertical="center"/>
    </xf>
    <xf numFmtId="182" fontId="17" fillId="0" borderId="45" xfId="0" applyNumberFormat="1" applyFont="1" applyBorder="1" applyAlignment="1">
      <alignment horizontal="center" vertical="center"/>
    </xf>
    <xf numFmtId="182" fontId="17" fillId="0" borderId="53" xfId="0" applyNumberFormat="1" applyFont="1" applyBorder="1" applyAlignment="1">
      <alignment horizontal="center" vertical="center"/>
    </xf>
    <xf numFmtId="182" fontId="17" fillId="0" borderId="61" xfId="0" applyNumberFormat="1" applyFont="1" applyBorder="1" applyAlignment="1">
      <alignment horizontal="center" vertical="center"/>
    </xf>
    <xf numFmtId="182" fontId="17" fillId="0" borderId="46" xfId="0" applyNumberFormat="1" applyFont="1" applyBorder="1" applyAlignment="1">
      <alignment horizontal="center" vertical="center"/>
    </xf>
    <xf numFmtId="182" fontId="17" fillId="0" borderId="54" xfId="0" applyNumberFormat="1" applyFont="1" applyBorder="1" applyAlignment="1">
      <alignment horizontal="center" vertical="center"/>
    </xf>
    <xf numFmtId="182" fontId="17" fillId="0" borderId="62" xfId="0" applyNumberFormat="1" applyFont="1" applyBorder="1" applyAlignment="1">
      <alignment horizontal="center" vertical="center"/>
    </xf>
    <xf numFmtId="183" fontId="17" fillId="0" borderId="44" xfId="0" applyNumberFormat="1" applyFont="1" applyFill="1" applyBorder="1" applyAlignment="1">
      <alignment horizontal="center" vertical="center"/>
    </xf>
    <xf numFmtId="183" fontId="17" fillId="0" borderId="52" xfId="0" applyNumberFormat="1" applyFont="1" applyFill="1" applyBorder="1" applyAlignment="1">
      <alignment horizontal="center" vertical="center"/>
    </xf>
    <xf numFmtId="183" fontId="17" fillId="0" borderId="60" xfId="0" applyNumberFormat="1" applyFont="1" applyFill="1" applyBorder="1" applyAlignment="1">
      <alignment horizontal="center" vertical="center"/>
    </xf>
    <xf numFmtId="183" fontId="17" fillId="0" borderId="46" xfId="0" applyNumberFormat="1" applyFont="1" applyFill="1" applyBorder="1" applyAlignment="1">
      <alignment horizontal="center" vertical="center"/>
    </xf>
    <xf numFmtId="183" fontId="17" fillId="0" borderId="54" xfId="0" applyNumberFormat="1" applyFont="1" applyFill="1" applyBorder="1" applyAlignment="1">
      <alignment horizontal="center" vertical="center"/>
    </xf>
    <xf numFmtId="183" fontId="17" fillId="0" borderId="62" xfId="0" applyNumberFormat="1" applyFont="1" applyFill="1" applyBorder="1" applyAlignment="1">
      <alignment horizontal="center" vertical="center"/>
    </xf>
    <xf numFmtId="183" fontId="17" fillId="0" borderId="47" xfId="0" applyNumberFormat="1" applyFont="1" applyFill="1" applyBorder="1" applyAlignment="1">
      <alignment horizontal="center" vertical="center"/>
    </xf>
    <xf numFmtId="183" fontId="17" fillId="0" borderId="55" xfId="0" applyNumberFormat="1" applyFont="1" applyFill="1" applyBorder="1" applyAlignment="1">
      <alignment horizontal="center" vertical="center"/>
    </xf>
    <xf numFmtId="183" fontId="17" fillId="0" borderId="63" xfId="0" applyNumberFormat="1" applyFont="1" applyFill="1" applyBorder="1" applyAlignment="1">
      <alignment horizontal="center" vertical="center"/>
    </xf>
    <xf numFmtId="183" fontId="17" fillId="0" borderId="40" xfId="0" applyNumberFormat="1" applyFont="1" applyFill="1" applyBorder="1" applyAlignment="1">
      <alignment horizontal="center" vertical="center"/>
    </xf>
    <xf numFmtId="183" fontId="17" fillId="0" borderId="48" xfId="0" applyNumberFormat="1" applyFont="1" applyFill="1" applyBorder="1" applyAlignment="1">
      <alignment horizontal="center" vertical="center"/>
    </xf>
    <xf numFmtId="183" fontId="17" fillId="0" borderId="56" xfId="0" applyNumberFormat="1" applyFont="1" applyFill="1" applyBorder="1" applyAlignment="1">
      <alignment horizontal="center" vertical="center"/>
    </xf>
    <xf numFmtId="183" fontId="17" fillId="0" borderId="43" xfId="0" applyNumberFormat="1" applyFont="1" applyFill="1" applyBorder="1" applyAlignment="1">
      <alignment horizontal="center" vertical="center"/>
    </xf>
    <xf numFmtId="183" fontId="17" fillId="0" borderId="51" xfId="0" applyNumberFormat="1" applyFont="1" applyFill="1" applyBorder="1" applyAlignment="1">
      <alignment horizontal="center" vertical="center"/>
    </xf>
    <xf numFmtId="183" fontId="17" fillId="0" borderId="59" xfId="0" applyNumberFormat="1" applyFont="1" applyFill="1" applyBorder="1" applyAlignment="1">
      <alignment horizontal="center" vertical="center"/>
    </xf>
    <xf numFmtId="190" fontId="17" fillId="0" borderId="40" xfId="0" applyNumberFormat="1" applyFont="1" applyBorder="1" applyAlignment="1">
      <alignment horizontal="center" vertical="center"/>
    </xf>
    <xf numFmtId="190" fontId="17" fillId="0" borderId="48" xfId="0" applyNumberFormat="1" applyFont="1" applyBorder="1" applyAlignment="1">
      <alignment horizontal="center" vertical="center"/>
    </xf>
    <xf numFmtId="190" fontId="17" fillId="0" borderId="56" xfId="0" applyNumberFormat="1" applyFont="1" applyBorder="1" applyAlignment="1">
      <alignment horizontal="center" vertical="center"/>
    </xf>
    <xf numFmtId="190" fontId="17" fillId="0" borderId="43" xfId="0" applyNumberFormat="1" applyFont="1" applyBorder="1" applyAlignment="1">
      <alignment horizontal="center" vertical="center"/>
    </xf>
    <xf numFmtId="190" fontId="17" fillId="0" borderId="51" xfId="0" applyNumberFormat="1" applyFont="1" applyBorder="1" applyAlignment="1">
      <alignment horizontal="center" vertical="center"/>
    </xf>
    <xf numFmtId="190" fontId="17" fillId="0" borderId="59" xfId="0" applyNumberFormat="1" applyFont="1" applyBorder="1" applyAlignment="1">
      <alignment horizontal="center" vertical="center"/>
    </xf>
    <xf numFmtId="183" fontId="17" fillId="0" borderId="45" xfId="0" applyNumberFormat="1" applyFont="1" applyFill="1" applyBorder="1" applyAlignment="1">
      <alignment horizontal="center" vertical="center"/>
    </xf>
    <xf numFmtId="183" fontId="17" fillId="0" borderId="53" xfId="0" applyNumberFormat="1" applyFont="1" applyFill="1" applyBorder="1" applyAlignment="1">
      <alignment horizontal="center" vertical="center"/>
    </xf>
    <xf numFmtId="183" fontId="17" fillId="0" borderId="61" xfId="0" applyNumberFormat="1" applyFont="1" applyFill="1" applyBorder="1" applyAlignment="1">
      <alignment horizontal="center" vertical="center"/>
    </xf>
    <xf numFmtId="190" fontId="17" fillId="0" borderId="45" xfId="0" applyNumberFormat="1" applyFont="1" applyBorder="1" applyAlignment="1">
      <alignment horizontal="center" vertical="center"/>
    </xf>
    <xf numFmtId="190" fontId="17" fillId="0" borderId="53" xfId="0" applyNumberFormat="1" applyFont="1" applyBorder="1" applyAlignment="1">
      <alignment horizontal="center" vertical="center"/>
    </xf>
    <xf numFmtId="190" fontId="17" fillId="0" borderId="61" xfId="0" applyNumberFormat="1" applyFont="1" applyBorder="1" applyAlignment="1">
      <alignment horizontal="center" vertical="center"/>
    </xf>
    <xf numFmtId="190" fontId="17" fillId="0" borderId="44" xfId="0" applyNumberFormat="1" applyFont="1" applyBorder="1" applyAlignment="1">
      <alignment horizontal="center" vertical="center"/>
    </xf>
    <xf numFmtId="190" fontId="17" fillId="0" borderId="52" xfId="0" applyNumberFormat="1" applyFont="1" applyBorder="1" applyAlignment="1">
      <alignment horizontal="center" vertical="center"/>
    </xf>
    <xf numFmtId="190" fontId="17" fillId="0" borderId="60" xfId="0" applyNumberFormat="1" applyFont="1" applyBorder="1" applyAlignment="1">
      <alignment horizontal="center" vertical="center"/>
    </xf>
    <xf numFmtId="190" fontId="17" fillId="0" borderId="46" xfId="0" applyNumberFormat="1" applyFont="1" applyBorder="1" applyAlignment="1">
      <alignment horizontal="center" vertical="center"/>
    </xf>
    <xf numFmtId="190" fontId="17" fillId="0" borderId="54" xfId="0" applyNumberFormat="1" applyFont="1" applyBorder="1" applyAlignment="1">
      <alignment horizontal="center" vertical="center"/>
    </xf>
    <xf numFmtId="190" fontId="17" fillId="0" borderId="62" xfId="0" applyNumberFormat="1" applyFont="1" applyBorder="1" applyAlignment="1">
      <alignment horizontal="center" vertical="center"/>
    </xf>
    <xf numFmtId="190" fontId="17" fillId="0" borderId="47" xfId="0" applyNumberFormat="1" applyFont="1" applyBorder="1" applyAlignment="1">
      <alignment horizontal="center" vertical="center"/>
    </xf>
    <xf numFmtId="190" fontId="17" fillId="0" borderId="55" xfId="0" applyNumberFormat="1" applyFont="1" applyBorder="1" applyAlignment="1">
      <alignment horizontal="center" vertical="center"/>
    </xf>
    <xf numFmtId="190" fontId="17" fillId="0" borderId="63" xfId="0" applyNumberFormat="1" applyFont="1" applyBorder="1" applyAlignment="1">
      <alignment horizontal="center" vertical="center"/>
    </xf>
    <xf numFmtId="190" fontId="17" fillId="0" borderId="44" xfId="0" applyNumberFormat="1" applyFont="1" applyFill="1" applyBorder="1" applyAlignment="1">
      <alignment horizontal="center" vertical="center"/>
    </xf>
    <xf numFmtId="190" fontId="17" fillId="0" borderId="52" xfId="0" applyNumberFormat="1" applyFont="1" applyFill="1" applyBorder="1" applyAlignment="1">
      <alignment horizontal="center" vertical="center"/>
    </xf>
    <xf numFmtId="190" fontId="17" fillId="0" borderId="60" xfId="0" applyNumberFormat="1" applyFont="1" applyFill="1" applyBorder="1" applyAlignment="1">
      <alignment horizontal="center" vertical="center"/>
    </xf>
    <xf numFmtId="190" fontId="17" fillId="0" borderId="40" xfId="0" applyNumberFormat="1" applyFont="1" applyFill="1" applyBorder="1" applyAlignment="1">
      <alignment horizontal="center" vertical="center"/>
    </xf>
    <xf numFmtId="190" fontId="17" fillId="0" borderId="48" xfId="0" applyNumberFormat="1" applyFont="1" applyFill="1" applyBorder="1" applyAlignment="1">
      <alignment horizontal="center" vertical="center"/>
    </xf>
    <xf numFmtId="190" fontId="17" fillId="0" borderId="56" xfId="0" applyNumberFormat="1" applyFont="1" applyFill="1" applyBorder="1" applyAlignment="1">
      <alignment horizontal="center" vertical="center"/>
    </xf>
    <xf numFmtId="190" fontId="17" fillId="0" borderId="43" xfId="0" applyNumberFormat="1" applyFont="1" applyFill="1" applyBorder="1" applyAlignment="1">
      <alignment horizontal="center" vertical="center"/>
    </xf>
    <xf numFmtId="190" fontId="17" fillId="0" borderId="51" xfId="0" applyNumberFormat="1" applyFont="1" applyFill="1" applyBorder="1" applyAlignment="1">
      <alignment horizontal="center" vertical="center"/>
    </xf>
    <xf numFmtId="190" fontId="17" fillId="0" borderId="59" xfId="0" applyNumberFormat="1" applyFont="1" applyFill="1" applyBorder="1" applyAlignment="1">
      <alignment horizontal="center" vertical="center"/>
    </xf>
    <xf numFmtId="190" fontId="17" fillId="0" borderId="45" xfId="0" applyNumberFormat="1" applyFont="1" applyFill="1" applyBorder="1" applyAlignment="1">
      <alignment horizontal="center" vertical="center"/>
    </xf>
    <xf numFmtId="190" fontId="17" fillId="0" borderId="53" xfId="0" applyNumberFormat="1" applyFont="1" applyFill="1" applyBorder="1" applyAlignment="1">
      <alignment horizontal="center" vertical="center"/>
    </xf>
    <xf numFmtId="190" fontId="17" fillId="0" borderId="61" xfId="0" applyNumberFormat="1" applyFont="1" applyFill="1" applyBorder="1" applyAlignment="1">
      <alignment horizontal="center" vertical="center"/>
    </xf>
    <xf numFmtId="190" fontId="17" fillId="0" borderId="46" xfId="0" applyNumberFormat="1" applyFont="1" applyFill="1" applyBorder="1" applyAlignment="1">
      <alignment horizontal="center" vertical="center"/>
    </xf>
    <xf numFmtId="190" fontId="17" fillId="0" borderId="54" xfId="0" applyNumberFormat="1" applyFont="1" applyFill="1" applyBorder="1" applyAlignment="1">
      <alignment horizontal="center" vertical="center"/>
    </xf>
    <xf numFmtId="190" fontId="17" fillId="0" borderId="62" xfId="0" applyNumberFormat="1" applyFont="1" applyFill="1" applyBorder="1" applyAlignment="1">
      <alignment horizontal="center" vertical="center"/>
    </xf>
    <xf numFmtId="190" fontId="17" fillId="0" borderId="47" xfId="0" applyNumberFormat="1" applyFont="1" applyFill="1" applyBorder="1" applyAlignment="1">
      <alignment horizontal="center" vertical="center"/>
    </xf>
    <xf numFmtId="190" fontId="17" fillId="0" borderId="55" xfId="0" applyNumberFormat="1" applyFont="1" applyFill="1" applyBorder="1" applyAlignment="1">
      <alignment horizontal="center" vertical="center"/>
    </xf>
    <xf numFmtId="190" fontId="17" fillId="0" borderId="63" xfId="0" applyNumberFormat="1" applyFont="1" applyFill="1" applyBorder="1" applyAlignment="1">
      <alignment horizontal="center" vertical="center"/>
    </xf>
    <xf numFmtId="182" fontId="17" fillId="4" borderId="44" xfId="0" applyNumberFormat="1" applyFont="1" applyFill="1" applyBorder="1" applyAlignment="1">
      <alignment horizontal="center" vertical="center"/>
    </xf>
    <xf numFmtId="182" fontId="17" fillId="4" borderId="52" xfId="0" applyNumberFormat="1" applyFont="1" applyFill="1" applyBorder="1" applyAlignment="1">
      <alignment horizontal="center" vertical="center"/>
    </xf>
    <xf numFmtId="182" fontId="17" fillId="4" borderId="60" xfId="0" applyNumberFormat="1" applyFont="1" applyFill="1" applyBorder="1" applyAlignment="1">
      <alignment horizontal="center" vertical="center"/>
    </xf>
    <xf numFmtId="182" fontId="17" fillId="4" borderId="47" xfId="0" applyNumberFormat="1" applyFont="1" applyFill="1" applyBorder="1" applyAlignment="1">
      <alignment horizontal="center" vertical="center"/>
    </xf>
    <xf numFmtId="182" fontId="17" fillId="4" borderId="55" xfId="0" applyNumberFormat="1" applyFont="1" applyFill="1" applyBorder="1" applyAlignment="1">
      <alignment horizontal="center" vertical="center"/>
    </xf>
    <xf numFmtId="182" fontId="17" fillId="4" borderId="63" xfId="0" applyNumberFormat="1" applyFont="1" applyFill="1" applyBorder="1" applyAlignment="1">
      <alignment horizontal="center" vertical="center"/>
    </xf>
    <xf numFmtId="182" fontId="17" fillId="4" borderId="40" xfId="0" applyNumberFormat="1" applyFont="1" applyFill="1" applyBorder="1" applyAlignment="1">
      <alignment horizontal="center" vertical="center"/>
    </xf>
    <xf numFmtId="182" fontId="17" fillId="4" borderId="48" xfId="0" applyNumberFormat="1" applyFont="1" applyFill="1" applyBorder="1" applyAlignment="1">
      <alignment horizontal="center" vertical="center"/>
    </xf>
    <xf numFmtId="182" fontId="17" fillId="4" borderId="56" xfId="0" applyNumberFormat="1" applyFont="1" applyFill="1" applyBorder="1" applyAlignment="1">
      <alignment horizontal="center" vertical="center"/>
    </xf>
    <xf numFmtId="182" fontId="17" fillId="4" borderId="43" xfId="0" applyNumberFormat="1" applyFont="1" applyFill="1" applyBorder="1" applyAlignment="1">
      <alignment horizontal="center" vertical="center"/>
    </xf>
    <xf numFmtId="182" fontId="17" fillId="4" borderId="51" xfId="0" applyNumberFormat="1" applyFont="1" applyFill="1" applyBorder="1" applyAlignment="1">
      <alignment horizontal="center" vertical="center"/>
    </xf>
    <xf numFmtId="182" fontId="17" fillId="4" borderId="59" xfId="0" applyNumberFormat="1" applyFont="1" applyFill="1" applyBorder="1" applyAlignment="1">
      <alignment horizontal="center" vertical="center"/>
    </xf>
    <xf numFmtId="182" fontId="17" fillId="4" borderId="45" xfId="0" applyNumberFormat="1" applyFont="1" applyFill="1" applyBorder="1" applyAlignment="1">
      <alignment horizontal="center" vertical="center"/>
    </xf>
    <xf numFmtId="182" fontId="17" fillId="4" borderId="53" xfId="0" applyNumberFormat="1" applyFont="1" applyFill="1" applyBorder="1" applyAlignment="1">
      <alignment horizontal="center" vertical="center"/>
    </xf>
    <xf numFmtId="182" fontId="17" fillId="4" borderId="61" xfId="0" applyNumberFormat="1" applyFont="1" applyFill="1" applyBorder="1" applyAlignment="1">
      <alignment horizontal="center" vertical="center"/>
    </xf>
    <xf numFmtId="182" fontId="17" fillId="4" borderId="46" xfId="0" applyNumberFormat="1" applyFont="1" applyFill="1" applyBorder="1" applyAlignment="1">
      <alignment horizontal="center" vertical="center"/>
    </xf>
    <xf numFmtId="182" fontId="17" fillId="4" borderId="54" xfId="0" applyNumberFormat="1" applyFont="1" applyFill="1" applyBorder="1" applyAlignment="1">
      <alignment horizontal="center" vertical="center"/>
    </xf>
    <xf numFmtId="182" fontId="17" fillId="4" borderId="62" xfId="0" applyNumberFormat="1" applyFont="1" applyFill="1" applyBorder="1" applyAlignment="1">
      <alignment horizontal="center" vertical="center"/>
    </xf>
    <xf numFmtId="183" fontId="17" fillId="4" borderId="44" xfId="0" applyNumberFormat="1" applyFont="1" applyFill="1" applyBorder="1" applyAlignment="1">
      <alignment horizontal="center" vertical="center"/>
    </xf>
    <xf numFmtId="183" fontId="17" fillId="4" borderId="52" xfId="0" applyNumberFormat="1" applyFont="1" applyFill="1" applyBorder="1" applyAlignment="1">
      <alignment horizontal="center" vertical="center"/>
    </xf>
    <xf numFmtId="183" fontId="17" fillId="4" borderId="60" xfId="0" applyNumberFormat="1" applyFont="1" applyFill="1" applyBorder="1" applyAlignment="1">
      <alignment horizontal="center" vertical="center"/>
    </xf>
    <xf numFmtId="183" fontId="17" fillId="4" borderId="46" xfId="0" applyNumberFormat="1" applyFont="1" applyFill="1" applyBorder="1" applyAlignment="1">
      <alignment horizontal="center" vertical="center"/>
    </xf>
    <xf numFmtId="183" fontId="17" fillId="4" borderId="54" xfId="0" applyNumberFormat="1" applyFont="1" applyFill="1" applyBorder="1" applyAlignment="1">
      <alignment horizontal="center" vertical="center"/>
    </xf>
    <xf numFmtId="183" fontId="17" fillId="4" borderId="62" xfId="0" applyNumberFormat="1" applyFont="1" applyFill="1" applyBorder="1" applyAlignment="1">
      <alignment horizontal="center" vertical="center"/>
    </xf>
    <xf numFmtId="183" fontId="17" fillId="4" borderId="47" xfId="0" applyNumberFormat="1" applyFont="1" applyFill="1" applyBorder="1" applyAlignment="1">
      <alignment horizontal="center" vertical="center"/>
    </xf>
    <xf numFmtId="183" fontId="17" fillId="4" borderId="55" xfId="0" applyNumberFormat="1" applyFont="1" applyFill="1" applyBorder="1" applyAlignment="1">
      <alignment horizontal="center" vertical="center"/>
    </xf>
    <xf numFmtId="183" fontId="17" fillId="4" borderId="63" xfId="0" applyNumberFormat="1" applyFont="1" applyFill="1" applyBorder="1" applyAlignment="1">
      <alignment horizontal="center" vertical="center"/>
    </xf>
    <xf numFmtId="183" fontId="17" fillId="4" borderId="40" xfId="0" applyNumberFormat="1" applyFont="1" applyFill="1" applyBorder="1" applyAlignment="1">
      <alignment horizontal="center" vertical="center"/>
    </xf>
    <xf numFmtId="183" fontId="17" fillId="4" borderId="48" xfId="0" applyNumberFormat="1" applyFont="1" applyFill="1" applyBorder="1" applyAlignment="1">
      <alignment horizontal="center" vertical="center"/>
    </xf>
    <xf numFmtId="183" fontId="17" fillId="4" borderId="56" xfId="0" applyNumberFormat="1" applyFont="1" applyFill="1" applyBorder="1" applyAlignment="1">
      <alignment horizontal="center" vertical="center"/>
    </xf>
    <xf numFmtId="183" fontId="17" fillId="4" borderId="43" xfId="0" applyNumberFormat="1" applyFont="1" applyFill="1" applyBorder="1" applyAlignment="1">
      <alignment horizontal="center" vertical="center"/>
    </xf>
    <xf numFmtId="183" fontId="17" fillId="4" borderId="51" xfId="0" applyNumberFormat="1" applyFont="1" applyFill="1" applyBorder="1" applyAlignment="1">
      <alignment horizontal="center" vertical="center"/>
    </xf>
    <xf numFmtId="183" fontId="17" fillId="4" borderId="59" xfId="0" applyNumberFormat="1" applyFont="1" applyFill="1" applyBorder="1" applyAlignment="1">
      <alignment horizontal="center" vertical="center"/>
    </xf>
    <xf numFmtId="190" fontId="17" fillId="4" borderId="40" xfId="0" applyNumberFormat="1" applyFont="1" applyFill="1" applyBorder="1" applyAlignment="1">
      <alignment horizontal="center" vertical="center"/>
    </xf>
    <xf numFmtId="190" fontId="17" fillId="4" borderId="48" xfId="0" applyNumberFormat="1" applyFont="1" applyFill="1" applyBorder="1" applyAlignment="1">
      <alignment horizontal="center" vertical="center"/>
    </xf>
    <xf numFmtId="190" fontId="17" fillId="4" borderId="56" xfId="0" applyNumberFormat="1" applyFont="1" applyFill="1" applyBorder="1" applyAlignment="1">
      <alignment horizontal="center" vertical="center"/>
    </xf>
    <xf numFmtId="190" fontId="17" fillId="4" borderId="43" xfId="0" applyNumberFormat="1" applyFont="1" applyFill="1" applyBorder="1" applyAlignment="1">
      <alignment horizontal="center" vertical="center"/>
    </xf>
    <xf numFmtId="190" fontId="17" fillId="4" borderId="51" xfId="0" applyNumberFormat="1" applyFont="1" applyFill="1" applyBorder="1" applyAlignment="1">
      <alignment horizontal="center" vertical="center"/>
    </xf>
    <xf numFmtId="190" fontId="17" fillId="4" borderId="59" xfId="0" applyNumberFormat="1" applyFont="1" applyFill="1" applyBorder="1" applyAlignment="1">
      <alignment horizontal="center" vertical="center"/>
    </xf>
    <xf numFmtId="183" fontId="17" fillId="4" borderId="45" xfId="0" applyNumberFormat="1" applyFont="1" applyFill="1" applyBorder="1" applyAlignment="1">
      <alignment horizontal="center" vertical="center"/>
    </xf>
    <xf numFmtId="183" fontId="17" fillId="4" borderId="53" xfId="0" applyNumberFormat="1" applyFont="1" applyFill="1" applyBorder="1" applyAlignment="1">
      <alignment horizontal="center" vertical="center"/>
    </xf>
    <xf numFmtId="183" fontId="17" fillId="4" borderId="61" xfId="0" applyNumberFormat="1" applyFont="1" applyFill="1" applyBorder="1" applyAlignment="1">
      <alignment horizontal="center" vertical="center"/>
    </xf>
    <xf numFmtId="190" fontId="17" fillId="4" borderId="45" xfId="0" applyNumberFormat="1" applyFont="1" applyFill="1" applyBorder="1" applyAlignment="1">
      <alignment horizontal="center" vertical="center"/>
    </xf>
    <xf numFmtId="190" fontId="17" fillId="4" borderId="53" xfId="0" applyNumberFormat="1" applyFont="1" applyFill="1" applyBorder="1" applyAlignment="1">
      <alignment horizontal="center" vertical="center"/>
    </xf>
    <xf numFmtId="190" fontId="17" fillId="4" borderId="61" xfId="0" applyNumberFormat="1" applyFont="1" applyFill="1" applyBorder="1" applyAlignment="1">
      <alignment horizontal="center" vertical="center"/>
    </xf>
    <xf numFmtId="190" fontId="17" fillId="4" borderId="46" xfId="0" applyNumberFormat="1" applyFont="1" applyFill="1" applyBorder="1" applyAlignment="1">
      <alignment horizontal="center" vertical="center"/>
    </xf>
    <xf numFmtId="190" fontId="17" fillId="4" borderId="54" xfId="0" applyNumberFormat="1" applyFont="1" applyFill="1" applyBorder="1" applyAlignment="1">
      <alignment horizontal="center" vertical="center"/>
    </xf>
    <xf numFmtId="190" fontId="17" fillId="4" borderId="62" xfId="0" applyNumberFormat="1" applyFont="1" applyFill="1" applyBorder="1" applyAlignment="1">
      <alignment horizontal="center" vertical="center"/>
    </xf>
    <xf numFmtId="190" fontId="17" fillId="4" borderId="44" xfId="0" applyNumberFormat="1" applyFont="1" applyFill="1" applyBorder="1" applyAlignment="1">
      <alignment horizontal="center" vertical="center"/>
    </xf>
    <xf numFmtId="190" fontId="17" fillId="4" borderId="52" xfId="0" applyNumberFormat="1" applyFont="1" applyFill="1" applyBorder="1" applyAlignment="1">
      <alignment horizontal="center" vertical="center"/>
    </xf>
    <xf numFmtId="190" fontId="17" fillId="4" borderId="60" xfId="0" applyNumberFormat="1" applyFont="1" applyFill="1" applyBorder="1" applyAlignment="1">
      <alignment horizontal="center" vertical="center"/>
    </xf>
    <xf numFmtId="190" fontId="17" fillId="4" borderId="47" xfId="0" applyNumberFormat="1" applyFont="1" applyFill="1" applyBorder="1" applyAlignment="1">
      <alignment horizontal="center" vertical="center"/>
    </xf>
    <xf numFmtId="190" fontId="17" fillId="4" borderId="55" xfId="0" applyNumberFormat="1" applyFont="1" applyFill="1" applyBorder="1" applyAlignment="1">
      <alignment horizontal="center" vertical="center"/>
    </xf>
    <xf numFmtId="190" fontId="17" fillId="4" borderId="63" xfId="0" applyNumberFormat="1" applyFont="1" applyFill="1" applyBorder="1" applyAlignment="1">
      <alignment horizontal="center" vertical="center"/>
    </xf>
    <xf numFmtId="200" fontId="15" fillId="0" borderId="16" xfId="0" applyNumberFormat="1" applyFont="1" applyBorder="1" applyAlignment="1" applyProtection="1">
      <alignment horizontal="left" vertical="center"/>
      <protection locked="0"/>
    </xf>
    <xf numFmtId="200" fontId="15" fillId="0" borderId="17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9" fontId="15" fillId="0" borderId="3" xfId="0" applyNumberFormat="1" applyFont="1" applyBorder="1" applyAlignment="1" applyProtection="1">
      <alignment horizontal="left" vertical="center"/>
      <protection locked="0"/>
    </xf>
    <xf numFmtId="9" fontId="15" fillId="0" borderId="4" xfId="0" applyNumberFormat="1" applyFont="1" applyBorder="1" applyAlignment="1" applyProtection="1">
      <alignment horizontal="left" vertical="center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4">
    <dxf>
      <numFmt numFmtId="207" formatCode="&quot;-&quot;;&quot;-&quot;;&quot;-&quot;"/>
    </dxf>
    <dxf>
      <numFmt numFmtId="194" formatCode="#;&quot;Fout!&quot;;&quot;-&quot;"/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6"/>
  <sheetViews>
    <sheetView tabSelected="1" zoomScaleNormal="100" workbookViewId="0">
      <selection activeCell="D8" sqref="D8"/>
    </sheetView>
  </sheetViews>
  <sheetFormatPr defaultColWidth="0" defaultRowHeight="15" customHeight="1" zeroHeight="1" x14ac:dyDescent="0.25"/>
  <cols>
    <col min="1" max="1" width="2.28515625" style="1" customWidth="1"/>
    <col min="2" max="2" width="2.85546875" style="2" customWidth="1"/>
    <col min="3" max="3" width="133.5703125" style="2" customWidth="1"/>
    <col min="4" max="4" width="9.140625" style="2" customWidth="1"/>
    <col min="5" max="5" width="2" style="1" customWidth="1"/>
    <col min="6" max="16384" width="0" style="2" hidden="1"/>
  </cols>
  <sheetData>
    <row r="1" spans="1:5" ht="18" customHeight="1" x14ac:dyDescent="0.25">
      <c r="B1" s="514" t="s">
        <v>0</v>
      </c>
      <c r="C1" s="515"/>
      <c r="D1" s="516"/>
    </row>
    <row r="2" spans="1:5" x14ac:dyDescent="0.25">
      <c r="B2" s="3" t="s">
        <v>1</v>
      </c>
      <c r="C2" s="4"/>
      <c r="D2" s="5"/>
    </row>
    <row r="3" spans="1:5" x14ac:dyDescent="0.25">
      <c r="B3" s="6" t="s">
        <v>2</v>
      </c>
      <c r="C3" s="7"/>
      <c r="D3" s="8"/>
    </row>
    <row r="4" spans="1:5" x14ac:dyDescent="0.25">
      <c r="B4" s="6" t="s">
        <v>3</v>
      </c>
      <c r="C4" s="7"/>
      <c r="D4" s="8"/>
    </row>
    <row r="5" spans="1:5" x14ac:dyDescent="0.25">
      <c r="B5" s="9" t="s">
        <v>4</v>
      </c>
      <c r="C5" s="7"/>
      <c r="D5" s="8"/>
    </row>
    <row r="6" spans="1:5" x14ac:dyDescent="0.25">
      <c r="B6" s="9" t="s">
        <v>5</v>
      </c>
      <c r="C6" s="7"/>
      <c r="D6" s="8"/>
    </row>
    <row r="7" spans="1:5" ht="9" customHeight="1" x14ac:dyDescent="0.25">
      <c r="B7" s="9"/>
      <c r="C7" s="7"/>
      <c r="D7" s="8"/>
    </row>
    <row r="8" spans="1:5" x14ac:dyDescent="0.25">
      <c r="B8" s="10" t="s">
        <v>480</v>
      </c>
      <c r="C8" s="11"/>
      <c r="D8" s="12" t="s">
        <v>481</v>
      </c>
    </row>
    <row r="9" spans="1:5" s="13" customFormat="1" ht="9" customHeight="1" x14ac:dyDescent="0.25">
      <c r="A9" s="7"/>
      <c r="E9" s="7"/>
    </row>
    <row r="10" spans="1:5" ht="18" customHeight="1" x14ac:dyDescent="0.25">
      <c r="B10" s="517" t="s">
        <v>6</v>
      </c>
      <c r="C10" s="518"/>
      <c r="D10" s="519"/>
    </row>
    <row r="11" spans="1:5" x14ac:dyDescent="0.25">
      <c r="B11" s="3" t="s">
        <v>7</v>
      </c>
      <c r="C11" s="4"/>
      <c r="D11" s="5"/>
    </row>
    <row r="12" spans="1:5" x14ac:dyDescent="0.25">
      <c r="B12" s="14">
        <v>1</v>
      </c>
      <c r="C12" s="7" t="s">
        <v>8</v>
      </c>
      <c r="D12" s="8"/>
    </row>
    <row r="13" spans="1:5" x14ac:dyDescent="0.25">
      <c r="B13" s="14">
        <v>2</v>
      </c>
      <c r="C13" s="7" t="s">
        <v>9</v>
      </c>
      <c r="D13" s="8"/>
    </row>
    <row r="14" spans="1:5" x14ac:dyDescent="0.25">
      <c r="B14" s="14"/>
      <c r="C14" s="7" t="s">
        <v>10</v>
      </c>
      <c r="D14" s="8"/>
    </row>
    <row r="15" spans="1:5" x14ac:dyDescent="0.25">
      <c r="B15" s="14">
        <v>3</v>
      </c>
      <c r="C15" s="7" t="s">
        <v>11</v>
      </c>
      <c r="D15" s="8"/>
    </row>
    <row r="16" spans="1:5" x14ac:dyDescent="0.25">
      <c r="B16" s="14" t="s">
        <v>12</v>
      </c>
      <c r="C16" s="15" t="s">
        <v>13</v>
      </c>
      <c r="D16" s="8"/>
    </row>
    <row r="17" spans="1:8" x14ac:dyDescent="0.25">
      <c r="B17" s="14"/>
      <c r="C17" s="15" t="s">
        <v>14</v>
      </c>
      <c r="D17" s="8"/>
    </row>
    <row r="18" spans="1:8" x14ac:dyDescent="0.25">
      <c r="B18" s="14" t="s">
        <v>15</v>
      </c>
      <c r="C18" s="15" t="s">
        <v>373</v>
      </c>
      <c r="D18" s="8"/>
    </row>
    <row r="19" spans="1:8" x14ac:dyDescent="0.25">
      <c r="B19" s="14">
        <v>6</v>
      </c>
      <c r="C19" s="15" t="s">
        <v>16</v>
      </c>
      <c r="D19" s="8"/>
    </row>
    <row r="20" spans="1:8" x14ac:dyDescent="0.25">
      <c r="B20" s="14"/>
      <c r="C20" s="15" t="s">
        <v>17</v>
      </c>
      <c r="D20" s="8"/>
    </row>
    <row r="21" spans="1:8" x14ac:dyDescent="0.25">
      <c r="B21" s="14">
        <v>7</v>
      </c>
      <c r="C21" s="15" t="s">
        <v>371</v>
      </c>
      <c r="D21" s="8"/>
    </row>
    <row r="22" spans="1:8" x14ac:dyDescent="0.25">
      <c r="B22" s="9" t="s">
        <v>18</v>
      </c>
      <c r="C22" s="7"/>
      <c r="D22" s="8"/>
    </row>
    <row r="23" spans="1:8" x14ac:dyDescent="0.25">
      <c r="B23" s="10" t="s">
        <v>19</v>
      </c>
      <c r="C23" s="11"/>
      <c r="D23" s="12"/>
    </row>
    <row r="24" spans="1:8" s="13" customFormat="1" ht="9" customHeight="1" x14ac:dyDescent="0.25">
      <c r="A24" s="7"/>
      <c r="E24" s="7"/>
      <c r="H24" s="16"/>
    </row>
    <row r="25" spans="1:8" ht="18" customHeight="1" x14ac:dyDescent="0.25">
      <c r="B25" s="514" t="s">
        <v>20</v>
      </c>
      <c r="C25" s="515"/>
      <c r="D25" s="516"/>
    </row>
    <row r="26" spans="1:8" x14ac:dyDescent="0.25">
      <c r="B26" s="3" t="s">
        <v>21</v>
      </c>
      <c r="C26" s="4"/>
      <c r="D26" s="5"/>
    </row>
    <row r="27" spans="1:8" x14ac:dyDescent="0.25">
      <c r="B27" s="14">
        <v>1</v>
      </c>
      <c r="C27" s="7" t="s">
        <v>22</v>
      </c>
      <c r="D27" s="8"/>
    </row>
    <row r="28" spans="1:8" x14ac:dyDescent="0.25">
      <c r="B28" s="14">
        <v>2</v>
      </c>
      <c r="C28" s="7" t="s">
        <v>23</v>
      </c>
      <c r="D28" s="8"/>
    </row>
    <row r="29" spans="1:8" x14ac:dyDescent="0.25">
      <c r="B29" s="14"/>
      <c r="C29" s="7" t="s">
        <v>24</v>
      </c>
      <c r="D29" s="8"/>
    </row>
    <row r="30" spans="1:8" x14ac:dyDescent="0.25">
      <c r="B30" s="17">
        <v>3</v>
      </c>
      <c r="C30" s="11" t="s">
        <v>25</v>
      </c>
      <c r="D30" s="12"/>
    </row>
    <row r="31" spans="1:8" s="13" customFormat="1" ht="9" customHeight="1" x14ac:dyDescent="0.25">
      <c r="A31" s="7"/>
      <c r="E31" s="7"/>
      <c r="H31" s="16"/>
    </row>
    <row r="32" spans="1:8" ht="18" customHeight="1" x14ac:dyDescent="0.25">
      <c r="B32" s="514" t="s">
        <v>26</v>
      </c>
      <c r="C32" s="515"/>
      <c r="D32" s="516"/>
      <c r="H32" s="18"/>
    </row>
    <row r="33" spans="2:8" x14ac:dyDescent="0.25">
      <c r="B33" s="3" t="s">
        <v>378</v>
      </c>
      <c r="C33" s="4"/>
      <c r="D33" s="5"/>
      <c r="H33" s="18"/>
    </row>
    <row r="34" spans="2:8" x14ac:dyDescent="0.25">
      <c r="B34" s="19" t="s">
        <v>470</v>
      </c>
      <c r="C34" s="20"/>
      <c r="D34" s="21"/>
      <c r="H34" s="18"/>
    </row>
    <row r="35" spans="2:8" x14ac:dyDescent="0.25">
      <c r="B35" s="14" t="s">
        <v>27</v>
      </c>
      <c r="C35" s="7" t="s">
        <v>28</v>
      </c>
      <c r="D35" s="8"/>
    </row>
    <row r="36" spans="2:8" x14ac:dyDescent="0.25">
      <c r="B36" s="14" t="s">
        <v>29</v>
      </c>
      <c r="C36" s="7" t="s">
        <v>30</v>
      </c>
      <c r="D36" s="8"/>
      <c r="H36" s="18"/>
    </row>
    <row r="37" spans="2:8" x14ac:dyDescent="0.25">
      <c r="B37" s="14" t="s">
        <v>31</v>
      </c>
      <c r="C37" s="7" t="s">
        <v>32</v>
      </c>
      <c r="D37" s="8"/>
      <c r="H37" s="18"/>
    </row>
    <row r="38" spans="2:8" x14ac:dyDescent="0.25">
      <c r="B38" s="6" t="s">
        <v>33</v>
      </c>
      <c r="C38" s="15"/>
      <c r="D38" s="8"/>
      <c r="H38" s="18"/>
    </row>
    <row r="39" spans="2:8" x14ac:dyDescent="0.25">
      <c r="B39" s="14" t="s">
        <v>34</v>
      </c>
      <c r="C39" s="15" t="s">
        <v>35</v>
      </c>
      <c r="D39" s="8"/>
      <c r="H39" s="18"/>
    </row>
    <row r="40" spans="2:8" x14ac:dyDescent="0.25">
      <c r="B40" s="14" t="s">
        <v>36</v>
      </c>
      <c r="C40" s="15" t="s">
        <v>37</v>
      </c>
      <c r="D40" s="8"/>
    </row>
    <row r="41" spans="2:8" x14ac:dyDescent="0.25">
      <c r="B41" s="14" t="s">
        <v>38</v>
      </c>
      <c r="C41" s="15" t="s">
        <v>39</v>
      </c>
      <c r="D41" s="8"/>
    </row>
    <row r="42" spans="2:8" x14ac:dyDescent="0.25">
      <c r="B42" s="14" t="s">
        <v>40</v>
      </c>
      <c r="C42" s="15" t="s">
        <v>41</v>
      </c>
      <c r="D42" s="8"/>
    </row>
    <row r="43" spans="2:8" x14ac:dyDescent="0.25">
      <c r="B43" s="6" t="s">
        <v>42</v>
      </c>
      <c r="C43" s="15"/>
      <c r="D43" s="8"/>
    </row>
    <row r="44" spans="2:8" x14ac:dyDescent="0.25">
      <c r="B44" s="6" t="s">
        <v>43</v>
      </c>
      <c r="C44" s="15"/>
      <c r="D44" s="8"/>
    </row>
    <row r="45" spans="2:8" x14ac:dyDescent="0.25">
      <c r="B45" s="22" t="s">
        <v>44</v>
      </c>
      <c r="C45" s="23"/>
      <c r="D45" s="24"/>
    </row>
    <row r="46" spans="2:8" x14ac:dyDescent="0.25">
      <c r="B46" s="14" t="s">
        <v>27</v>
      </c>
      <c r="C46" s="7" t="s">
        <v>45</v>
      </c>
      <c r="D46" s="8"/>
    </row>
    <row r="47" spans="2:8" x14ac:dyDescent="0.25">
      <c r="B47" s="14" t="s">
        <v>29</v>
      </c>
      <c r="C47" s="7" t="s">
        <v>46</v>
      </c>
      <c r="D47" s="8"/>
      <c r="H47" s="18"/>
    </row>
    <row r="48" spans="2:8" x14ac:dyDescent="0.25">
      <c r="B48" s="14"/>
      <c r="C48" s="7" t="s">
        <v>374</v>
      </c>
      <c r="D48" s="8"/>
      <c r="H48" s="18"/>
    </row>
    <row r="49" spans="1:8" x14ac:dyDescent="0.25">
      <c r="B49" s="14" t="s">
        <v>31</v>
      </c>
      <c r="C49" s="7" t="s">
        <v>47</v>
      </c>
      <c r="D49" s="8"/>
      <c r="H49" s="18"/>
    </row>
    <row r="50" spans="1:8" x14ac:dyDescent="0.25">
      <c r="B50" s="10" t="s">
        <v>48</v>
      </c>
      <c r="C50" s="11"/>
      <c r="D50" s="12"/>
    </row>
    <row r="51" spans="1:8" s="13" customFormat="1" ht="9" customHeight="1" x14ac:dyDescent="0.25">
      <c r="A51" s="7"/>
      <c r="E51" s="7"/>
      <c r="H51" s="16"/>
    </row>
    <row r="52" spans="1:8" ht="18" customHeight="1" x14ac:dyDescent="0.25">
      <c r="B52" s="514" t="s">
        <v>49</v>
      </c>
      <c r="C52" s="515"/>
      <c r="D52" s="516"/>
    </row>
    <row r="53" spans="1:8" x14ac:dyDescent="0.25">
      <c r="B53" s="3" t="s">
        <v>379</v>
      </c>
      <c r="C53" s="4"/>
      <c r="D53" s="5"/>
    </row>
    <row r="54" spans="1:8" x14ac:dyDescent="0.25">
      <c r="B54" s="19" t="s">
        <v>380</v>
      </c>
      <c r="C54" s="20"/>
      <c r="D54" s="21"/>
    </row>
    <row r="55" spans="1:8" x14ac:dyDescent="0.25">
      <c r="B55" s="14" t="s">
        <v>27</v>
      </c>
      <c r="C55" s="7" t="s">
        <v>50</v>
      </c>
      <c r="D55" s="8"/>
    </row>
    <row r="56" spans="1:8" x14ac:dyDescent="0.25">
      <c r="B56" s="14" t="s">
        <v>29</v>
      </c>
      <c r="C56" s="7" t="s">
        <v>381</v>
      </c>
      <c r="D56" s="8"/>
    </row>
    <row r="57" spans="1:8" x14ac:dyDescent="0.25">
      <c r="B57" s="14" t="s">
        <v>31</v>
      </c>
      <c r="C57" s="7" t="s">
        <v>377</v>
      </c>
      <c r="D57" s="8"/>
    </row>
    <row r="58" spans="1:8" x14ac:dyDescent="0.25">
      <c r="B58" s="14" t="s">
        <v>375</v>
      </c>
      <c r="C58" s="7" t="s">
        <v>382</v>
      </c>
      <c r="D58" s="8"/>
    </row>
    <row r="59" spans="1:8" x14ac:dyDescent="0.25">
      <c r="B59" s="14" t="s">
        <v>376</v>
      </c>
      <c r="C59" s="7" t="s">
        <v>383</v>
      </c>
      <c r="D59" s="8"/>
    </row>
    <row r="60" spans="1:8" x14ac:dyDescent="0.25">
      <c r="B60" s="10" t="s">
        <v>48</v>
      </c>
      <c r="C60" s="11"/>
      <c r="D60" s="12"/>
    </row>
    <row r="61" spans="1:8" s="13" customFormat="1" ht="9" customHeight="1" x14ac:dyDescent="0.25">
      <c r="A61" s="7"/>
      <c r="E61" s="7"/>
      <c r="H61" s="16"/>
    </row>
    <row r="62" spans="1:8" ht="18" customHeight="1" x14ac:dyDescent="0.25">
      <c r="B62" s="514" t="s">
        <v>468</v>
      </c>
      <c r="C62" s="515"/>
      <c r="D62" s="516"/>
    </row>
    <row r="63" spans="1:8" x14ac:dyDescent="0.25">
      <c r="B63" s="3" t="s">
        <v>469</v>
      </c>
      <c r="C63" s="4"/>
      <c r="D63" s="5"/>
    </row>
    <row r="64" spans="1:8" x14ac:dyDescent="0.25">
      <c r="B64" s="14" t="s">
        <v>27</v>
      </c>
      <c r="C64" s="7" t="s">
        <v>471</v>
      </c>
      <c r="D64" s="8"/>
    </row>
    <row r="65" spans="2:16384" x14ac:dyDescent="0.25">
      <c r="B65" s="14" t="s">
        <v>29</v>
      </c>
      <c r="C65" s="7" t="s">
        <v>472</v>
      </c>
      <c r="D65" s="8"/>
    </row>
    <row r="66" spans="2:16384" x14ac:dyDescent="0.25">
      <c r="B66" s="14" t="s">
        <v>31</v>
      </c>
      <c r="C66" s="7" t="s">
        <v>473</v>
      </c>
      <c r="D66" s="8"/>
    </row>
    <row r="67" spans="2:16384" x14ac:dyDescent="0.25">
      <c r="B67" s="14" t="s">
        <v>375</v>
      </c>
      <c r="C67" s="7" t="s">
        <v>474</v>
      </c>
      <c r="D67" s="8"/>
    </row>
    <row r="68" spans="2:16384" x14ac:dyDescent="0.25">
      <c r="B68" s="17" t="s">
        <v>376</v>
      </c>
      <c r="C68" s="11" t="s">
        <v>477</v>
      </c>
      <c r="D68" s="513"/>
    </row>
    <row r="69" spans="2:16384" ht="10.5" hidden="1" customHeight="1" x14ac:dyDescent="0.25">
      <c r="B69" s="512"/>
      <c r="C69" s="512"/>
      <c r="D69" s="5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spans="2:16384" hidden="1" x14ac:dyDescent="0.25">
      <c r="B70" s="1"/>
      <c r="C70" s="1"/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pans="2:16384" hidden="1" x14ac:dyDescent="0.25">
      <c r="B71" s="1"/>
      <c r="C71" s="1"/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  <c r="XFD71" s="1"/>
    </row>
    <row r="72" spans="2:16384" hidden="1" x14ac:dyDescent="0.25">
      <c r="B72" s="1"/>
      <c r="C72" s="1"/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2:16384" hidden="1" x14ac:dyDescent="0.25">
      <c r="B73" s="1"/>
      <c r="C73" s="1"/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2:16384" hidden="1" x14ac:dyDescent="0.25"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2:16384" hidden="1" x14ac:dyDescent="0.25">
      <c r="B75" s="1"/>
      <c r="C75" s="1"/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2:16384" hidden="1" x14ac:dyDescent="0.25"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  <c r="XFC76" s="1"/>
      <c r="XFD76" s="1"/>
    </row>
    <row r="77" spans="2:16384" hidden="1" x14ac:dyDescent="0.25">
      <c r="B77" s="1"/>
      <c r="C77" s="1"/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  <c r="XFB77" s="1"/>
      <c r="XFC77" s="1"/>
      <c r="XFD77" s="1"/>
    </row>
    <row r="78" spans="2:16384" hidden="1" x14ac:dyDescent="0.25">
      <c r="B78" s="1"/>
      <c r="C78" s="1"/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2:16384" hidden="1" x14ac:dyDescent="0.25">
      <c r="B79" s="1"/>
      <c r="C79" s="1"/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  <c r="XFD79" s="1"/>
    </row>
    <row r="80" spans="2:16384" hidden="1" x14ac:dyDescent="0.25">
      <c r="B80" s="1"/>
      <c r="C80" s="1"/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  <c r="XFD80" s="1"/>
    </row>
    <row r="81" spans="2:16384" hidden="1" x14ac:dyDescent="0.25">
      <c r="B81" s="1"/>
      <c r="C81" s="1"/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  <c r="XFC81" s="1"/>
      <c r="XFD81" s="1"/>
    </row>
    <row r="82" spans="2:16384" hidden="1" x14ac:dyDescent="0.25"/>
    <row r="83" spans="2:16384" ht="15" hidden="1" customHeight="1" x14ac:dyDescent="0.25"/>
    <row r="84" spans="2:16384" ht="15" hidden="1" customHeight="1" x14ac:dyDescent="0.25"/>
    <row r="85" spans="2:16384" ht="15" hidden="1" customHeight="1" x14ac:dyDescent="0.25"/>
    <row r="86" spans="2:16384" ht="15" hidden="1" customHeight="1" x14ac:dyDescent="0.25"/>
  </sheetData>
  <sheetProtection sheet="1" objects="1" scenarios="1"/>
  <mergeCells count="6">
    <mergeCell ref="B1:D1"/>
    <mergeCell ref="B10:D10"/>
    <mergeCell ref="B25:D25"/>
    <mergeCell ref="B32:D32"/>
    <mergeCell ref="B62:D62"/>
    <mergeCell ref="B52:D52"/>
  </mergeCells>
  <pageMargins left="0.25" right="0.25" top="0.26" bottom="0.13" header="0.3" footer="0.13"/>
  <pageSetup paperSize="9" scale="7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8"/>
  <sheetViews>
    <sheetView zoomScale="90" zoomScaleNormal="90" workbookViewId="0">
      <selection activeCell="D2" sqref="D2"/>
    </sheetView>
  </sheetViews>
  <sheetFormatPr defaultColWidth="0" defaultRowHeight="15" customHeight="1" zeroHeight="1" x14ac:dyDescent="0.25"/>
  <cols>
    <col min="1" max="1" width="3.85546875" style="25" customWidth="1"/>
    <col min="2" max="2" width="35.28515625" customWidth="1"/>
    <col min="3" max="3" width="1.85546875" customWidth="1"/>
    <col min="4" max="4" width="11.7109375" style="82" customWidth="1"/>
    <col min="5" max="5" width="1.85546875" customWidth="1"/>
    <col min="6" max="6" width="12.85546875" style="82" bestFit="1" customWidth="1"/>
    <col min="7" max="7" width="1.85546875" customWidth="1"/>
    <col min="8" max="8" width="104.7109375" style="82" customWidth="1"/>
    <col min="9" max="9" width="103.42578125" style="82" bestFit="1" customWidth="1"/>
    <col min="10" max="10" width="1.85546875" hidden="1" customWidth="1"/>
    <col min="11" max="11" width="73.7109375" hidden="1" customWidth="1"/>
    <col min="12" max="14" width="0" hidden="1" customWidth="1"/>
    <col min="15" max="16384" width="9.140625" hidden="1"/>
  </cols>
  <sheetData>
    <row r="1" spans="1:12" x14ac:dyDescent="0.25">
      <c r="B1" s="26" t="s">
        <v>51</v>
      </c>
      <c r="D1" s="27" t="s">
        <v>52</v>
      </c>
      <c r="E1" s="28"/>
      <c r="F1" s="27" t="s">
        <v>53</v>
      </c>
      <c r="G1" s="29"/>
      <c r="H1" s="26" t="s">
        <v>54</v>
      </c>
      <c r="I1" s="26" t="s">
        <v>55</v>
      </c>
    </row>
    <row r="2" spans="1:12" x14ac:dyDescent="0.25">
      <c r="A2" s="30" t="s">
        <v>56</v>
      </c>
      <c r="B2" s="31" t="s">
        <v>57</v>
      </c>
      <c r="C2" s="32"/>
      <c r="D2" s="33" t="str">
        <f>F2</f>
        <v>RV Naarden</v>
      </c>
      <c r="E2" s="34"/>
      <c r="F2" s="33" t="s">
        <v>58</v>
      </c>
      <c r="G2" s="35"/>
      <c r="H2" s="36" t="s">
        <v>59</v>
      </c>
      <c r="I2" s="36"/>
    </row>
    <row r="3" spans="1:12" ht="15" customHeight="1" x14ac:dyDescent="0.25">
      <c r="A3" s="25" t="s">
        <v>60</v>
      </c>
      <c r="B3" s="37" t="s">
        <v>61</v>
      </c>
      <c r="D3" s="38">
        <f t="shared" ref="D3:D24" si="0">F3</f>
        <v>2012</v>
      </c>
      <c r="E3" s="39"/>
      <c r="F3" s="38">
        <v>2012</v>
      </c>
      <c r="G3" s="40"/>
      <c r="H3" t="s">
        <v>62</v>
      </c>
      <c r="I3"/>
    </row>
    <row r="4" spans="1:12" ht="15" customHeight="1" x14ac:dyDescent="0.25">
      <c r="A4" s="25" t="s">
        <v>63</v>
      </c>
      <c r="B4" s="37" t="s">
        <v>64</v>
      </c>
      <c r="D4" s="41">
        <f t="shared" si="0"/>
        <v>40929</v>
      </c>
      <c r="E4" s="42"/>
      <c r="F4" s="41">
        <v>40929</v>
      </c>
      <c r="G4" s="40"/>
      <c r="H4" t="s">
        <v>65</v>
      </c>
      <c r="I4"/>
    </row>
    <row r="5" spans="1:12" x14ac:dyDescent="0.25">
      <c r="A5" s="25" t="s">
        <v>66</v>
      </c>
      <c r="B5" s="37" t="s">
        <v>67</v>
      </c>
      <c r="D5" s="43" t="str">
        <f t="shared" si="0"/>
        <v>Burger</v>
      </c>
      <c r="E5" s="44"/>
      <c r="F5" s="43" t="s">
        <v>391</v>
      </c>
      <c r="G5" s="40"/>
      <c r="H5" t="s">
        <v>68</v>
      </c>
      <c r="I5"/>
    </row>
    <row r="6" spans="1:12" ht="15" customHeight="1" x14ac:dyDescent="0.25">
      <c r="A6" s="25" t="s">
        <v>69</v>
      </c>
      <c r="B6" s="37" t="s">
        <v>70</v>
      </c>
      <c r="D6" s="321">
        <v>450</v>
      </c>
      <c r="E6" s="44"/>
      <c r="F6" s="321"/>
      <c r="G6" s="40"/>
      <c r="H6" t="s">
        <v>71</v>
      </c>
      <c r="I6"/>
    </row>
    <row r="7" spans="1:12" ht="15" customHeight="1" x14ac:dyDescent="0.25">
      <c r="A7" s="25" t="s">
        <v>72</v>
      </c>
      <c r="B7" s="37" t="s">
        <v>73</v>
      </c>
      <c r="D7" s="322">
        <v>25000</v>
      </c>
      <c r="E7" s="44"/>
      <c r="F7" s="46">
        <v>25000</v>
      </c>
      <c r="G7" s="40"/>
      <c r="H7" t="s">
        <v>74</v>
      </c>
      <c r="I7"/>
      <c r="L7" s="47"/>
    </row>
    <row r="8" spans="1:12" ht="15" customHeight="1" x14ac:dyDescent="0.25">
      <c r="A8" s="25" t="s">
        <v>75</v>
      </c>
      <c r="B8" s="37" t="s">
        <v>76</v>
      </c>
      <c r="D8" s="322">
        <f t="shared" si="0"/>
        <v>0</v>
      </c>
      <c r="E8" s="44"/>
      <c r="F8" s="46"/>
      <c r="G8" s="40"/>
      <c r="H8" t="s">
        <v>77</v>
      </c>
      <c r="I8"/>
      <c r="L8" s="47"/>
    </row>
    <row r="9" spans="1:12" x14ac:dyDescent="0.25">
      <c r="A9" s="25" t="s">
        <v>78</v>
      </c>
      <c r="B9" s="37" t="s">
        <v>79</v>
      </c>
      <c r="D9" s="45">
        <f t="shared" si="0"/>
        <v>66</v>
      </c>
      <c r="E9" s="44"/>
      <c r="F9" s="48">
        <f>Hulptabel!$M$12</f>
        <v>66</v>
      </c>
      <c r="G9" s="40"/>
      <c r="H9" t="s">
        <v>80</v>
      </c>
      <c r="I9"/>
    </row>
    <row r="10" spans="1:12" x14ac:dyDescent="0.25">
      <c r="A10" s="25" t="s">
        <v>81</v>
      </c>
      <c r="B10" s="37" t="s">
        <v>82</v>
      </c>
      <c r="D10" s="45">
        <f t="shared" si="0"/>
        <v>139</v>
      </c>
      <c r="E10" s="44"/>
      <c r="F10" s="48">
        <f>Hulptabel!$M$16</f>
        <v>139</v>
      </c>
      <c r="G10" s="40"/>
      <c r="H10" t="s">
        <v>83</v>
      </c>
      <c r="I10"/>
    </row>
    <row r="11" spans="1:12" x14ac:dyDescent="0.25">
      <c r="A11" s="25" t="s">
        <v>84</v>
      </c>
      <c r="B11" s="37" t="s">
        <v>85</v>
      </c>
      <c r="D11" s="45">
        <f t="shared" si="0"/>
        <v>103</v>
      </c>
      <c r="E11" s="49" t="str">
        <f>IF(D11+D12&lt;&gt;D10,"!","")</f>
        <v/>
      </c>
      <c r="F11" s="48">
        <f>Hulptabel!$M$17</f>
        <v>103</v>
      </c>
      <c r="G11" s="50" t="str">
        <f>IF(F11+F12&lt;&gt;F10,"!","")</f>
        <v/>
      </c>
      <c r="H11" t="s">
        <v>86</v>
      </c>
      <c r="I11"/>
    </row>
    <row r="12" spans="1:12" x14ac:dyDescent="0.25">
      <c r="A12" s="25" t="s">
        <v>87</v>
      </c>
      <c r="B12" s="37" t="s">
        <v>88</v>
      </c>
      <c r="D12" s="45">
        <f t="shared" si="0"/>
        <v>36</v>
      </c>
      <c r="E12" s="49" t="str">
        <f>IF(D11+D12&lt;&gt;D10,"!","")</f>
        <v/>
      </c>
      <c r="F12" s="48">
        <f>Hulptabel!$M$18</f>
        <v>36</v>
      </c>
      <c r="G12" s="50" t="str">
        <f>IF(F11+F12&lt;&gt;F10,"!","")</f>
        <v/>
      </c>
      <c r="H12" t="s">
        <v>89</v>
      </c>
      <c r="I12"/>
    </row>
    <row r="13" spans="1:12" x14ac:dyDescent="0.25">
      <c r="A13" s="25" t="s">
        <v>90</v>
      </c>
      <c r="B13" s="37" t="s">
        <v>91</v>
      </c>
      <c r="D13" s="45">
        <f t="shared" si="0"/>
        <v>93</v>
      </c>
      <c r="E13" s="49" t="str">
        <f>IF(D13+D16+D17&lt;&gt;D10,"!","")</f>
        <v/>
      </c>
      <c r="F13" s="48">
        <f>Hulptabel!$M$19</f>
        <v>93</v>
      </c>
      <c r="G13" s="50" t="str">
        <f>IF(F13+F16+F17&lt;&gt;F10,"!","")</f>
        <v/>
      </c>
      <c r="H13" t="s">
        <v>92</v>
      </c>
      <c r="I13"/>
    </row>
    <row r="14" spans="1:12" x14ac:dyDescent="0.25">
      <c r="A14" s="25" t="s">
        <v>93</v>
      </c>
      <c r="B14" s="37" t="s">
        <v>411</v>
      </c>
      <c r="D14" s="45">
        <v>45</v>
      </c>
      <c r="E14" s="74"/>
      <c r="F14" s="48">
        <f>SUMIF(Hulptabel!$W$3:$W$152,"&lt;3")</f>
        <v>45</v>
      </c>
      <c r="G14" s="74"/>
      <c r="H14" t="s">
        <v>415</v>
      </c>
      <c r="I14"/>
    </row>
    <row r="15" spans="1:12" x14ac:dyDescent="0.25">
      <c r="A15" s="25" t="s">
        <v>96</v>
      </c>
      <c r="B15" s="37" t="s">
        <v>412</v>
      </c>
      <c r="D15" s="45">
        <v>48</v>
      </c>
      <c r="E15" s="74"/>
      <c r="F15" s="48">
        <f>F13-F14</f>
        <v>48</v>
      </c>
      <c r="G15" s="74"/>
      <c r="H15" t="s">
        <v>416</v>
      </c>
      <c r="I15"/>
    </row>
    <row r="16" spans="1:12" x14ac:dyDescent="0.25">
      <c r="A16" s="25" t="s">
        <v>99</v>
      </c>
      <c r="B16" s="37" t="s">
        <v>94</v>
      </c>
      <c r="D16" s="45">
        <f t="shared" si="0"/>
        <v>35</v>
      </c>
      <c r="E16" s="49" t="str">
        <f>IF(D16+D17+D13&lt;&gt;D10,"!","")</f>
        <v/>
      </c>
      <c r="F16" s="48">
        <f>Hulptabel!$M$20</f>
        <v>35</v>
      </c>
      <c r="G16" s="50" t="str">
        <f>IF(F16+F17+F13&lt;&gt;F10,"!","")</f>
        <v/>
      </c>
      <c r="H16" t="s">
        <v>95</v>
      </c>
      <c r="I16"/>
    </row>
    <row r="17" spans="1:24" x14ac:dyDescent="0.25">
      <c r="A17" s="25" t="s">
        <v>102</v>
      </c>
      <c r="B17" s="37" t="s">
        <v>97</v>
      </c>
      <c r="D17" s="45">
        <f t="shared" si="0"/>
        <v>11</v>
      </c>
      <c r="E17" s="49" t="str">
        <f>IF(D17+D13+D16&lt;&gt;D10,"!","")</f>
        <v/>
      </c>
      <c r="F17" s="48">
        <f>Hulptabel!$M$21</f>
        <v>11</v>
      </c>
      <c r="G17" s="50" t="str">
        <f>IF(F17+F13+F16&lt;&gt;F10,"!","")</f>
        <v/>
      </c>
      <c r="H17" t="s">
        <v>98</v>
      </c>
      <c r="I17"/>
    </row>
    <row r="18" spans="1:24" x14ac:dyDescent="0.25">
      <c r="A18" s="25" t="s">
        <v>105</v>
      </c>
      <c r="B18" s="37" t="s">
        <v>100</v>
      </c>
      <c r="D18" s="45">
        <f t="shared" si="0"/>
        <v>15</v>
      </c>
      <c r="E18" s="49" t="str">
        <f>IF(D18+D19+D20&lt;&gt;D10,"!","")</f>
        <v/>
      </c>
      <c r="F18" s="48">
        <f>Hulptabel!M22</f>
        <v>15</v>
      </c>
      <c r="G18" s="50" t="str">
        <f>IF(F18+F19+F20&lt;&gt;F10,"!","")</f>
        <v/>
      </c>
      <c r="H18" s="51" t="s">
        <v>101</v>
      </c>
      <c r="I18" s="51"/>
    </row>
    <row r="19" spans="1:24" x14ac:dyDescent="0.25">
      <c r="A19" s="25" t="s">
        <v>108</v>
      </c>
      <c r="B19" s="37" t="s">
        <v>103</v>
      </c>
      <c r="D19" s="45">
        <f t="shared" si="0"/>
        <v>50</v>
      </c>
      <c r="E19" s="49" t="str">
        <f>IF(D19+D20+D18&lt;&gt;D10,"!","")</f>
        <v/>
      </c>
      <c r="F19" s="48">
        <f>Hulptabel!M23</f>
        <v>50</v>
      </c>
      <c r="G19" s="50" t="str">
        <f>IF(F19+F20+F18&lt;&gt;F10,"!","")</f>
        <v/>
      </c>
      <c r="H19" s="51" t="s">
        <v>104</v>
      </c>
      <c r="I19" s="51"/>
    </row>
    <row r="20" spans="1:24" x14ac:dyDescent="0.25">
      <c r="A20" s="25" t="s">
        <v>111</v>
      </c>
      <c r="B20" s="37" t="s">
        <v>106</v>
      </c>
      <c r="D20" s="45">
        <f t="shared" si="0"/>
        <v>74</v>
      </c>
      <c r="E20" s="49" t="str">
        <f>IF(D20+D18+D19&lt;&gt;D10,"!","")</f>
        <v/>
      </c>
      <c r="F20" s="48">
        <f>Hulptabel!M24</f>
        <v>74</v>
      </c>
      <c r="G20" s="50" t="str">
        <f>IF(F20+F18+F19&lt;&gt;F10,"!","")</f>
        <v/>
      </c>
      <c r="H20" s="51" t="s">
        <v>107</v>
      </c>
      <c r="I20" s="51"/>
    </row>
    <row r="21" spans="1:24" ht="15" customHeight="1" x14ac:dyDescent="0.25">
      <c r="A21" s="25" t="s">
        <v>114</v>
      </c>
      <c r="B21" s="37" t="s">
        <v>109</v>
      </c>
      <c r="D21" s="46">
        <f t="shared" si="0"/>
        <v>789285</v>
      </c>
      <c r="E21" s="44"/>
      <c r="F21" s="52">
        <f>Hulptabel!$M$25</f>
        <v>789285</v>
      </c>
      <c r="G21" s="40"/>
      <c r="H21" t="s">
        <v>110</v>
      </c>
      <c r="I21"/>
    </row>
    <row r="22" spans="1:24" x14ac:dyDescent="0.25">
      <c r="A22" s="25" t="s">
        <v>117</v>
      </c>
      <c r="B22" s="37" t="s">
        <v>112</v>
      </c>
      <c r="D22" s="53">
        <f t="shared" si="0"/>
        <v>5522</v>
      </c>
      <c r="E22" s="44"/>
      <c r="F22" s="54">
        <f>Hulptabel!$M$29</f>
        <v>5522</v>
      </c>
      <c r="G22" s="40"/>
      <c r="H22" t="s">
        <v>113</v>
      </c>
      <c r="I22"/>
    </row>
    <row r="23" spans="1:24" x14ac:dyDescent="0.25">
      <c r="A23" s="25" t="s">
        <v>413</v>
      </c>
      <c r="B23" s="37" t="s">
        <v>115</v>
      </c>
      <c r="D23" s="53">
        <f t="shared" si="0"/>
        <v>12645</v>
      </c>
      <c r="E23" s="44"/>
      <c r="F23" s="54">
        <f>Hulptabel!$M$32</f>
        <v>12645</v>
      </c>
      <c r="G23" s="40"/>
      <c r="H23" t="s">
        <v>116</v>
      </c>
      <c r="I23"/>
      <c r="N23" s="55"/>
    </row>
    <row r="24" spans="1:24" x14ac:dyDescent="0.25">
      <c r="A24" s="25" t="s">
        <v>414</v>
      </c>
      <c r="B24" s="37" t="s">
        <v>118</v>
      </c>
      <c r="D24" s="56">
        <f t="shared" si="0"/>
        <v>12.590909090909092</v>
      </c>
      <c r="E24" s="44"/>
      <c r="F24" s="57">
        <f>Hulptabel!$M$30</f>
        <v>12.590909090909092</v>
      </c>
      <c r="G24" s="40"/>
      <c r="H24" t="s">
        <v>119</v>
      </c>
      <c r="I24"/>
    </row>
    <row r="25" spans="1:24" s="60" customFormat="1" ht="23.25" x14ac:dyDescent="0.35">
      <c r="A25" s="58"/>
      <c r="B25" s="59" t="str">
        <f>"Kentallen "&amp;IF(Kentallen!$D$2="",Kentallen!$F$2,Kentallen!$D$2)</f>
        <v>Kentallen RV Naarden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ht="20.100000000000001" customHeight="1" x14ac:dyDescent="0.25">
      <c r="A26" s="62"/>
      <c r="B26" s="63" t="s">
        <v>120</v>
      </c>
      <c r="C26" s="64"/>
      <c r="D26" s="65" t="s">
        <v>52</v>
      </c>
      <c r="E26" s="66"/>
      <c r="F26" s="65" t="s">
        <v>53</v>
      </c>
      <c r="G26" s="29"/>
      <c r="H26" s="26" t="s">
        <v>54</v>
      </c>
      <c r="I26" s="26" t="s">
        <v>55</v>
      </c>
    </row>
    <row r="27" spans="1:24" ht="15" customHeight="1" x14ac:dyDescent="0.25">
      <c r="A27" s="25">
        <v>1</v>
      </c>
      <c r="B27" s="31" t="s">
        <v>57</v>
      </c>
      <c r="D27" s="67" t="str">
        <f>IF(D$2=0,"-",D$2)</f>
        <v>RV Naarden</v>
      </c>
      <c r="E27" s="68"/>
      <c r="F27" s="67" t="str">
        <f>IF(F$2=0,"",F$2)</f>
        <v>RV Naarden</v>
      </c>
      <c r="H27" s="69" t="s">
        <v>121</v>
      </c>
      <c r="I27"/>
    </row>
    <row r="28" spans="1:24" ht="15" customHeight="1" x14ac:dyDescent="0.25">
      <c r="A28" s="25">
        <v>2</v>
      </c>
      <c r="B28" s="37" t="s">
        <v>61</v>
      </c>
      <c r="D28" s="67">
        <f>IF(D$3=0,"-",D$3)</f>
        <v>2012</v>
      </c>
      <c r="E28" s="39"/>
      <c r="F28" s="67">
        <f>IF(F$3=0,"",F$3)</f>
        <v>2012</v>
      </c>
      <c r="G28" s="40"/>
      <c r="H28" t="s">
        <v>62</v>
      </c>
      <c r="I28"/>
    </row>
    <row r="29" spans="1:24" ht="15" customHeight="1" x14ac:dyDescent="0.25">
      <c r="A29" s="25">
        <v>3</v>
      </c>
      <c r="B29" s="37" t="s">
        <v>64</v>
      </c>
      <c r="D29" s="70">
        <f>IF(D$4="","-",D$4)</f>
        <v>40929</v>
      </c>
      <c r="E29" s="42"/>
      <c r="F29" s="70">
        <f>IF(F$4="","-",F$4)</f>
        <v>40929</v>
      </c>
      <c r="G29" s="40"/>
      <c r="H29" t="s">
        <v>65</v>
      </c>
      <c r="I29"/>
    </row>
    <row r="30" spans="1:24" ht="15" customHeight="1" x14ac:dyDescent="0.25">
      <c r="A30" s="25">
        <v>4</v>
      </c>
      <c r="B30" s="37" t="s">
        <v>67</v>
      </c>
      <c r="D30" s="71" t="str">
        <f>IF(D$5="Burger","Burger",IF(D$5="Student","Student","-"))</f>
        <v>Burger</v>
      </c>
      <c r="E30" s="42"/>
      <c r="F30" s="71" t="str">
        <f>IF(F$5="Burger","Burger",IF(F$5="Student","Student","-"))</f>
        <v>Burger</v>
      </c>
      <c r="G30" s="40"/>
      <c r="H30" t="s">
        <v>68</v>
      </c>
      <c r="I30"/>
    </row>
    <row r="31" spans="1:24" x14ac:dyDescent="0.25">
      <c r="A31" s="25">
        <v>5</v>
      </c>
      <c r="B31" s="37" t="s">
        <v>70</v>
      </c>
      <c r="D31" s="67">
        <f>IF(D$6=0,"-",D$6)</f>
        <v>450</v>
      </c>
      <c r="E31" s="44"/>
      <c r="F31" s="67" t="str">
        <f>IF(F$6=0,"",F$6)</f>
        <v/>
      </c>
      <c r="G31" s="40"/>
      <c r="H31" t="s">
        <v>71</v>
      </c>
      <c r="I31" t="s">
        <v>122</v>
      </c>
    </row>
    <row r="32" spans="1:24" ht="20.100000000000001" customHeight="1" x14ac:dyDescent="0.25">
      <c r="A32" s="62"/>
      <c r="B32" s="63" t="s">
        <v>123</v>
      </c>
      <c r="C32" s="64"/>
      <c r="D32" s="65" t="s">
        <v>52</v>
      </c>
      <c r="E32" s="66"/>
      <c r="F32" s="65" t="s">
        <v>53</v>
      </c>
      <c r="G32" s="29"/>
      <c r="H32" s="26" t="s">
        <v>54</v>
      </c>
      <c r="I32" s="26" t="s">
        <v>55</v>
      </c>
    </row>
    <row r="33" spans="1:9" x14ac:dyDescent="0.25">
      <c r="A33" s="25">
        <v>6</v>
      </c>
      <c r="B33" s="37" t="s">
        <v>79</v>
      </c>
      <c r="D33" s="72">
        <f>IF(D$9=0,0,D$9)</f>
        <v>66</v>
      </c>
      <c r="E33" s="44"/>
      <c r="F33" s="72">
        <f>IF(F$9=0,0,F$9)</f>
        <v>66</v>
      </c>
      <c r="G33" s="40"/>
      <c r="H33" t="s">
        <v>80</v>
      </c>
      <c r="I33" t="s">
        <v>124</v>
      </c>
    </row>
    <row r="34" spans="1:9" x14ac:dyDescent="0.25">
      <c r="A34" s="25">
        <v>7</v>
      </c>
      <c r="B34" s="37" t="s">
        <v>125</v>
      </c>
      <c r="D34" s="73">
        <f>IF(D$10=0,0,D$6/D$10)</f>
        <v>3.2374100719424459</v>
      </c>
      <c r="E34" s="74"/>
      <c r="F34" s="73">
        <f>IF(F$10=0,0,F$6/F$10)</f>
        <v>0</v>
      </c>
      <c r="G34" s="74"/>
      <c r="H34" t="s">
        <v>126</v>
      </c>
      <c r="I34" t="s">
        <v>127</v>
      </c>
    </row>
    <row r="35" spans="1:9" x14ac:dyDescent="0.25">
      <c r="A35" s="25">
        <v>8</v>
      </c>
      <c r="B35" s="37" t="s">
        <v>82</v>
      </c>
      <c r="D35" s="72">
        <f>D$10</f>
        <v>139</v>
      </c>
      <c r="E35" s="74"/>
      <c r="F35" s="72">
        <f>F$10</f>
        <v>139</v>
      </c>
      <c r="G35" s="74"/>
      <c r="H35" t="s">
        <v>83</v>
      </c>
      <c r="I35" t="s">
        <v>128</v>
      </c>
    </row>
    <row r="36" spans="1:9" x14ac:dyDescent="0.25">
      <c r="B36" s="37" t="s">
        <v>85</v>
      </c>
      <c r="D36" s="72">
        <f>D$11</f>
        <v>103</v>
      </c>
      <c r="E36" s="74"/>
      <c r="F36" s="72">
        <f>F$11</f>
        <v>103</v>
      </c>
      <c r="G36" s="74"/>
      <c r="H36" t="s">
        <v>86</v>
      </c>
      <c r="I36"/>
    </row>
    <row r="37" spans="1:9" x14ac:dyDescent="0.25">
      <c r="B37" s="37" t="s">
        <v>88</v>
      </c>
      <c r="D37" s="72">
        <f>D$12</f>
        <v>36</v>
      </c>
      <c r="E37" s="74"/>
      <c r="F37" s="72">
        <f>F$12</f>
        <v>36</v>
      </c>
      <c r="G37" s="74"/>
      <c r="H37" t="s">
        <v>89</v>
      </c>
      <c r="I37"/>
    </row>
    <row r="38" spans="1:9" x14ac:dyDescent="0.25">
      <c r="B38" s="37" t="s">
        <v>91</v>
      </c>
      <c r="D38" s="72">
        <f>D$13</f>
        <v>93</v>
      </c>
      <c r="E38" s="74"/>
      <c r="F38" s="72">
        <f>F$13</f>
        <v>93</v>
      </c>
      <c r="G38" s="74"/>
      <c r="H38" t="s">
        <v>92</v>
      </c>
      <c r="I38"/>
    </row>
    <row r="39" spans="1:9" x14ac:dyDescent="0.25">
      <c r="B39" s="37" t="s">
        <v>411</v>
      </c>
      <c r="D39" s="72">
        <f>D$14</f>
        <v>45</v>
      </c>
      <c r="E39" s="74"/>
      <c r="F39" s="72">
        <f>F$14</f>
        <v>45</v>
      </c>
      <c r="G39" s="74"/>
      <c r="H39" t="s">
        <v>415</v>
      </c>
      <c r="I39"/>
    </row>
    <row r="40" spans="1:9" x14ac:dyDescent="0.25">
      <c r="B40" s="37" t="s">
        <v>412</v>
      </c>
      <c r="D40" s="72">
        <f>D$15</f>
        <v>48</v>
      </c>
      <c r="E40" s="74"/>
      <c r="F40" s="72">
        <f>F$15</f>
        <v>48</v>
      </c>
      <c r="G40" s="74"/>
      <c r="H40" t="s">
        <v>416</v>
      </c>
      <c r="I40"/>
    </row>
    <row r="41" spans="1:9" x14ac:dyDescent="0.25">
      <c r="B41" s="37" t="s">
        <v>94</v>
      </c>
      <c r="D41" s="72">
        <f>D$16</f>
        <v>35</v>
      </c>
      <c r="E41" s="74"/>
      <c r="F41" s="72">
        <f>F$16</f>
        <v>35</v>
      </c>
      <c r="G41" s="74"/>
      <c r="H41" t="s">
        <v>95</v>
      </c>
      <c r="I41"/>
    </row>
    <row r="42" spans="1:9" x14ac:dyDescent="0.25">
      <c r="B42" s="37" t="s">
        <v>97</v>
      </c>
      <c r="D42" s="72">
        <f>D$17</f>
        <v>11</v>
      </c>
      <c r="E42" s="74"/>
      <c r="F42" s="72">
        <f>F$17</f>
        <v>11</v>
      </c>
      <c r="G42" s="74"/>
      <c r="H42" t="s">
        <v>98</v>
      </c>
      <c r="I42"/>
    </row>
    <row r="43" spans="1:9" x14ac:dyDescent="0.25">
      <c r="B43" s="37" t="s">
        <v>100</v>
      </c>
      <c r="D43" s="72">
        <f>D$18</f>
        <v>15</v>
      </c>
      <c r="E43" s="74"/>
      <c r="F43" s="72">
        <f>F$18</f>
        <v>15</v>
      </c>
      <c r="G43" s="74"/>
      <c r="H43" s="51" t="s">
        <v>101</v>
      </c>
      <c r="I43"/>
    </row>
    <row r="44" spans="1:9" x14ac:dyDescent="0.25">
      <c r="B44" s="37" t="s">
        <v>103</v>
      </c>
      <c r="D44" s="72">
        <f>D$19</f>
        <v>50</v>
      </c>
      <c r="E44" s="74"/>
      <c r="F44" s="72">
        <f>F$19</f>
        <v>50</v>
      </c>
      <c r="G44" s="74"/>
      <c r="H44" s="51" t="s">
        <v>104</v>
      </c>
      <c r="I44"/>
    </row>
    <row r="45" spans="1:9" x14ac:dyDescent="0.25">
      <c r="B45" s="37" t="s">
        <v>106</v>
      </c>
      <c r="D45" s="72">
        <f>D$20</f>
        <v>74</v>
      </c>
      <c r="E45" s="74"/>
      <c r="F45" s="72">
        <f>F$20</f>
        <v>74</v>
      </c>
      <c r="G45" s="74"/>
      <c r="H45" s="51" t="s">
        <v>107</v>
      </c>
      <c r="I45"/>
    </row>
    <row r="46" spans="1:9" x14ac:dyDescent="0.25">
      <c r="A46" s="25">
        <v>9</v>
      </c>
      <c r="B46" s="37" t="s">
        <v>129</v>
      </c>
      <c r="D46" s="75">
        <f>D$10</f>
        <v>139</v>
      </c>
      <c r="E46" s="74"/>
      <c r="F46" s="75">
        <f>F$10</f>
        <v>139</v>
      </c>
      <c r="G46" s="74"/>
      <c r="H46" t="s">
        <v>130</v>
      </c>
      <c r="I46" t="s">
        <v>372</v>
      </c>
    </row>
    <row r="47" spans="1:9" x14ac:dyDescent="0.25">
      <c r="B47" s="37" t="s">
        <v>131</v>
      </c>
      <c r="D47" s="76">
        <f>IF(D$10=0,0,D$11/D$10)</f>
        <v>0.74100719424460426</v>
      </c>
      <c r="E47" s="74"/>
      <c r="F47" s="76">
        <f>IF(F$10=0,0,F$11/F$10)</f>
        <v>0.74100719424460426</v>
      </c>
      <c r="G47" s="74"/>
      <c r="H47" t="s">
        <v>132</v>
      </c>
      <c r="I47"/>
    </row>
    <row r="48" spans="1:9" x14ac:dyDescent="0.25">
      <c r="B48" s="37" t="s">
        <v>88</v>
      </c>
      <c r="D48" s="76">
        <f>IF(D$10=0,0,D$12/D$10)</f>
        <v>0.25899280575539568</v>
      </c>
      <c r="E48" s="74"/>
      <c r="F48" s="76">
        <f>IF(F$10=0,0,F$12/F$10)</f>
        <v>0.25899280575539568</v>
      </c>
      <c r="G48" s="74"/>
      <c r="H48" t="s">
        <v>133</v>
      </c>
      <c r="I48"/>
    </row>
    <row r="49" spans="1:9" x14ac:dyDescent="0.25">
      <c r="B49" s="37" t="s">
        <v>91</v>
      </c>
      <c r="D49" s="76">
        <f>IF(D$10=0,0,D$13/D$10)</f>
        <v>0.6690647482014388</v>
      </c>
      <c r="E49" s="74"/>
      <c r="F49" s="76">
        <f>IF(F$10=0,0,F$13/F$10)</f>
        <v>0.6690647482014388</v>
      </c>
      <c r="G49" s="74"/>
      <c r="H49" t="s">
        <v>134</v>
      </c>
      <c r="I49"/>
    </row>
    <row r="50" spans="1:9" x14ac:dyDescent="0.25">
      <c r="B50" s="37" t="s">
        <v>411</v>
      </c>
      <c r="D50" s="76">
        <f>IF(D$13=0,0,D$14/D$10)</f>
        <v>0.32374100719424459</v>
      </c>
      <c r="E50" s="74"/>
      <c r="F50" s="76">
        <f>IF(F$13=0,0,F$14/F$10)</f>
        <v>0.32374100719424459</v>
      </c>
      <c r="G50" s="74"/>
      <c r="H50" t="s">
        <v>417</v>
      </c>
      <c r="I50"/>
    </row>
    <row r="51" spans="1:9" x14ac:dyDescent="0.25">
      <c r="B51" s="37" t="s">
        <v>412</v>
      </c>
      <c r="D51" s="76">
        <f>IF(D$13=0,0,D$15/D$10)</f>
        <v>0.34532374100719426</v>
      </c>
      <c r="E51" s="74"/>
      <c r="F51" s="76">
        <f>IF(F$13=0,0,F$15/F$10)</f>
        <v>0.34532374100719426</v>
      </c>
      <c r="G51" s="74"/>
      <c r="H51" t="s">
        <v>418</v>
      </c>
      <c r="I51"/>
    </row>
    <row r="52" spans="1:9" x14ac:dyDescent="0.25">
      <c r="B52" s="37" t="s">
        <v>94</v>
      </c>
      <c r="D52" s="76">
        <f>IF(D$10=0,0,D$16/D$10)</f>
        <v>0.25179856115107913</v>
      </c>
      <c r="E52" s="74"/>
      <c r="F52" s="76">
        <f>IF(F$10=0,0,F$16/F$10)</f>
        <v>0.25179856115107913</v>
      </c>
      <c r="G52" s="74"/>
      <c r="H52" t="s">
        <v>135</v>
      </c>
      <c r="I52"/>
    </row>
    <row r="53" spans="1:9" x14ac:dyDescent="0.25">
      <c r="B53" s="37" t="s">
        <v>97</v>
      </c>
      <c r="D53" s="76">
        <f>IF(D$10=0,0,D$17/D$10)</f>
        <v>7.9136690647482008E-2</v>
      </c>
      <c r="E53" s="74"/>
      <c r="F53" s="76">
        <f>IF(F$10=0,0,F$17/F$10)</f>
        <v>7.9136690647482008E-2</v>
      </c>
      <c r="G53" s="74"/>
      <c r="H53" t="s">
        <v>136</v>
      </c>
      <c r="I53"/>
    </row>
    <row r="54" spans="1:9" x14ac:dyDescent="0.25">
      <c r="B54" s="37" t="s">
        <v>100</v>
      </c>
      <c r="D54" s="76">
        <f>IF(D$10=0,0,D$18/D$10)</f>
        <v>0.1079136690647482</v>
      </c>
      <c r="E54" s="50"/>
      <c r="F54" s="76">
        <f>IF(F$10=0,0,F$18/F$10)</f>
        <v>0.1079136690647482</v>
      </c>
      <c r="G54" s="50"/>
      <c r="H54" t="s">
        <v>137</v>
      </c>
      <c r="I54"/>
    </row>
    <row r="55" spans="1:9" x14ac:dyDescent="0.25">
      <c r="B55" s="37" t="s">
        <v>103</v>
      </c>
      <c r="D55" s="76">
        <f>IF(D$10=0,0,D$19/D$10)</f>
        <v>0.35971223021582732</v>
      </c>
      <c r="E55" s="50"/>
      <c r="F55" s="76">
        <f>IF(F$10=0,0,F$19/F$10)</f>
        <v>0.35971223021582732</v>
      </c>
      <c r="G55" s="50"/>
      <c r="H55" t="s">
        <v>138</v>
      </c>
      <c r="I55"/>
    </row>
    <row r="56" spans="1:9" ht="15" customHeight="1" x14ac:dyDescent="0.25">
      <c r="B56" s="37" t="s">
        <v>106</v>
      </c>
      <c r="D56" s="76">
        <f>IF(D$10=0,0,D$20/D$10)</f>
        <v>0.53237410071942448</v>
      </c>
      <c r="E56" s="50"/>
      <c r="F56" s="76">
        <f>IF(F$10=0,0,F$20/F$10)</f>
        <v>0.53237410071942448</v>
      </c>
      <c r="G56" s="50"/>
      <c r="H56" t="s">
        <v>139</v>
      </c>
      <c r="I56"/>
    </row>
    <row r="57" spans="1:9" ht="15" customHeight="1" x14ac:dyDescent="0.25">
      <c r="A57" s="25">
        <v>10</v>
      </c>
      <c r="B57" s="37" t="s">
        <v>392</v>
      </c>
      <c r="D57" s="331">
        <f>D35/D33</f>
        <v>2.106060606060606</v>
      </c>
      <c r="E57" s="74"/>
      <c r="F57" s="331">
        <f>F35/F33</f>
        <v>2.106060606060606</v>
      </c>
      <c r="G57" s="74"/>
      <c r="H57" t="s">
        <v>393</v>
      </c>
      <c r="I57" t="s">
        <v>394</v>
      </c>
    </row>
    <row r="58" spans="1:9" x14ac:dyDescent="0.25">
      <c r="B58" s="37" t="s">
        <v>395</v>
      </c>
      <c r="D58" s="72" t="s">
        <v>145</v>
      </c>
      <c r="E58" s="74"/>
      <c r="F58" s="331">
        <f>IF(Hulptabel!$M$13=0,0,Hulptabel!$M$19/Hulptabel!$M$13)</f>
        <v>2.0666666666666669</v>
      </c>
      <c r="G58" s="74"/>
      <c r="H58" t="s">
        <v>396</v>
      </c>
      <c r="I58"/>
    </row>
    <row r="59" spans="1:9" x14ac:dyDescent="0.25">
      <c r="B59" s="37" t="s">
        <v>397</v>
      </c>
      <c r="D59" s="72" t="s">
        <v>145</v>
      </c>
      <c r="E59" s="74"/>
      <c r="F59" s="331">
        <f>IF(Hulptabel!$M$14=0,0,Hulptabel!$M$20/Hulptabel!$M$14)</f>
        <v>2.3333333333333335</v>
      </c>
      <c r="G59" s="74"/>
      <c r="H59" t="s">
        <v>398</v>
      </c>
      <c r="I59"/>
    </row>
    <row r="60" spans="1:9" x14ac:dyDescent="0.25">
      <c r="B60" s="37" t="s">
        <v>399</v>
      </c>
      <c r="D60" s="76" t="s">
        <v>145</v>
      </c>
      <c r="E60" s="74"/>
      <c r="F60" s="331">
        <f>IF(Hulptabel!$M$15=0,0,Hulptabel!$M$21/Hulptabel!$M$15)</f>
        <v>1.8333333333333333</v>
      </c>
      <c r="G60" s="74"/>
      <c r="H60" t="s">
        <v>400</v>
      </c>
      <c r="I60"/>
    </row>
    <row r="61" spans="1:9" ht="20.100000000000001" customHeight="1" x14ac:dyDescent="0.25">
      <c r="A61" s="62"/>
      <c r="B61" s="63" t="s">
        <v>140</v>
      </c>
      <c r="C61" s="64"/>
      <c r="D61" s="65" t="s">
        <v>52</v>
      </c>
      <c r="E61" s="66"/>
      <c r="F61" s="65" t="s">
        <v>53</v>
      </c>
      <c r="G61" s="29"/>
      <c r="H61" s="26" t="s">
        <v>54</v>
      </c>
      <c r="I61" s="26" t="s">
        <v>55</v>
      </c>
    </row>
    <row r="62" spans="1:9" ht="15" customHeight="1" x14ac:dyDescent="0.25">
      <c r="A62" s="25">
        <v>11</v>
      </c>
      <c r="B62" s="37" t="s">
        <v>141</v>
      </c>
      <c r="D62" s="73">
        <f>IF(D$7=0,0,D$21/D$7)</f>
        <v>31.571400000000001</v>
      </c>
      <c r="E62" s="74"/>
      <c r="F62" s="73">
        <f>IF(F$7=0,0,F$21/F$7)</f>
        <v>31.571400000000001</v>
      </c>
      <c r="G62" s="74"/>
      <c r="H62" t="s">
        <v>142</v>
      </c>
      <c r="I62" t="s">
        <v>143</v>
      </c>
    </row>
    <row r="63" spans="1:9" ht="15" customHeight="1" x14ac:dyDescent="0.25">
      <c r="A63" s="25">
        <v>12</v>
      </c>
      <c r="B63" s="37" t="s">
        <v>118</v>
      </c>
      <c r="D63" s="73">
        <f>D$24</f>
        <v>12.590909090909092</v>
      </c>
      <c r="E63" s="74"/>
      <c r="F63" s="73">
        <f>F$24</f>
        <v>12.590909090909092</v>
      </c>
      <c r="G63" s="74"/>
      <c r="H63" t="s">
        <v>119</v>
      </c>
      <c r="I63"/>
    </row>
    <row r="64" spans="1:9" ht="15" customHeight="1" x14ac:dyDescent="0.25">
      <c r="A64" s="25">
        <v>13</v>
      </c>
      <c r="B64" s="37" t="s">
        <v>144</v>
      </c>
      <c r="D64" s="73" t="s">
        <v>145</v>
      </c>
      <c r="E64" s="74"/>
      <c r="F64" s="77">
        <f>Hulptabel!$T$1</f>
        <v>12.83071073955718</v>
      </c>
      <c r="G64" s="74"/>
      <c r="H64" t="s">
        <v>146</v>
      </c>
      <c r="I64" t="s">
        <v>147</v>
      </c>
    </row>
    <row r="65" spans="1:14" ht="15" customHeight="1" x14ac:dyDescent="0.25">
      <c r="A65" s="25">
        <v>14</v>
      </c>
      <c r="B65" s="37" t="s">
        <v>148</v>
      </c>
      <c r="D65" s="78">
        <f>IF(D$9=0,0,D$21/D$9)</f>
        <v>11958.863636363636</v>
      </c>
      <c r="E65" s="74"/>
      <c r="F65" s="78">
        <f>IF(F$9=0,0,F$21/F$9)</f>
        <v>11958.863636363636</v>
      </c>
      <c r="G65" s="74"/>
      <c r="H65" t="s">
        <v>149</v>
      </c>
      <c r="I65" t="s">
        <v>150</v>
      </c>
    </row>
    <row r="66" spans="1:14" ht="15" customHeight="1" x14ac:dyDescent="0.25">
      <c r="A66" s="25">
        <v>15</v>
      </c>
      <c r="B66" s="37" t="s">
        <v>151</v>
      </c>
      <c r="D66" s="78">
        <f>IF(D$10=0,0,D$21/D$10)</f>
        <v>5678.3093525179856</v>
      </c>
      <c r="E66" s="74"/>
      <c r="F66" s="78">
        <f>IF(F$10=0,0,F$21/F$10)</f>
        <v>5678.3093525179856</v>
      </c>
      <c r="G66" s="74"/>
      <c r="H66" t="s">
        <v>401</v>
      </c>
      <c r="I66" t="s">
        <v>150</v>
      </c>
    </row>
    <row r="67" spans="1:14" ht="15" customHeight="1" x14ac:dyDescent="0.25">
      <c r="B67" s="37" t="s">
        <v>395</v>
      </c>
      <c r="D67" s="76" t="s">
        <v>145</v>
      </c>
      <c r="E67" s="74"/>
      <c r="F67" s="332">
        <f>IF(Hulptabel!$M$19=0,0,Hulptabel!$M$26/Hulptabel!$M$19)</f>
        <v>5325.1075268817203</v>
      </c>
      <c r="G67" s="74"/>
      <c r="H67" t="s">
        <v>402</v>
      </c>
      <c r="I67"/>
    </row>
    <row r="68" spans="1:14" ht="15" customHeight="1" x14ac:dyDescent="0.25">
      <c r="B68" s="37" t="s">
        <v>397</v>
      </c>
      <c r="D68" s="76" t="s">
        <v>145</v>
      </c>
      <c r="E68" s="74"/>
      <c r="F68" s="332">
        <f>IF(Hulptabel!$M$20=0,0,Hulptabel!$M$27/Hulptabel!$M$20)</f>
        <v>3761.8571428571427</v>
      </c>
      <c r="G68" s="74"/>
      <c r="H68" t="s">
        <v>403</v>
      </c>
      <c r="I68"/>
    </row>
    <row r="69" spans="1:14" ht="15" customHeight="1" x14ac:dyDescent="0.25">
      <c r="B69" s="37" t="s">
        <v>399</v>
      </c>
      <c r="D69" s="76" t="s">
        <v>145</v>
      </c>
      <c r="E69" s="74"/>
      <c r="F69" s="332">
        <f>IF(Hulptabel!$M$21=0,0,Hulptabel!$M$28/Hulptabel!$M$21)</f>
        <v>6732.727272727273</v>
      </c>
      <c r="G69" s="74"/>
      <c r="H69" t="s">
        <v>404</v>
      </c>
      <c r="I69"/>
    </row>
    <row r="70" spans="1:14" ht="20.100000000000001" customHeight="1" x14ac:dyDescent="0.25">
      <c r="A70" s="62"/>
      <c r="B70" s="63" t="s">
        <v>152</v>
      </c>
      <c r="C70" s="64"/>
      <c r="D70" s="65" t="s">
        <v>52</v>
      </c>
      <c r="E70" s="66"/>
      <c r="F70" s="65" t="s">
        <v>53</v>
      </c>
      <c r="G70" s="29"/>
      <c r="H70" s="26" t="s">
        <v>54</v>
      </c>
      <c r="I70" s="26" t="s">
        <v>55</v>
      </c>
    </row>
    <row r="71" spans="1:14" x14ac:dyDescent="0.25">
      <c r="A71" s="25">
        <v>16</v>
      </c>
      <c r="B71" s="37" t="s">
        <v>109</v>
      </c>
      <c r="D71" s="78">
        <f>D$21</f>
        <v>789285</v>
      </c>
      <c r="E71" s="74"/>
      <c r="F71" s="78">
        <f>F$21</f>
        <v>789285</v>
      </c>
      <c r="G71" s="74"/>
      <c r="H71" t="s">
        <v>153</v>
      </c>
      <c r="I71" t="s">
        <v>154</v>
      </c>
    </row>
    <row r="72" spans="1:14" x14ac:dyDescent="0.25">
      <c r="A72" s="25">
        <v>17</v>
      </c>
      <c r="B72" s="37" t="s">
        <v>155</v>
      </c>
      <c r="D72" s="78">
        <f>IF(D$6=0,0,D$71/D$6)</f>
        <v>1753.9666666666667</v>
      </c>
      <c r="E72" s="74"/>
      <c r="F72" s="78">
        <f>IF(F$6=0,0,F$71/F$6)</f>
        <v>0</v>
      </c>
      <c r="G72" s="74"/>
      <c r="H72" t="s">
        <v>156</v>
      </c>
      <c r="I72" t="s">
        <v>157</v>
      </c>
      <c r="N72" s="55"/>
    </row>
    <row r="73" spans="1:14" x14ac:dyDescent="0.25">
      <c r="A73" s="25">
        <v>18</v>
      </c>
      <c r="B73" s="37" t="s">
        <v>73</v>
      </c>
      <c r="D73" s="78">
        <f>D$7</f>
        <v>25000</v>
      </c>
      <c r="E73" s="74"/>
      <c r="F73" s="78">
        <f>Aanschafbudget</f>
        <v>25000</v>
      </c>
      <c r="G73" s="74"/>
      <c r="H73" t="s">
        <v>74</v>
      </c>
      <c r="I73" t="s">
        <v>158</v>
      </c>
    </row>
    <row r="74" spans="1:14" x14ac:dyDescent="0.25">
      <c r="A74" s="25">
        <v>19</v>
      </c>
      <c r="B74" s="37" t="s">
        <v>159</v>
      </c>
      <c r="D74" s="79">
        <f>IF(D$6=0,0,D$7/D$6)</f>
        <v>55.555555555555557</v>
      </c>
      <c r="E74" s="74"/>
      <c r="F74" s="79">
        <f>IF(F$6=0,0,F$7/F$6)</f>
        <v>0</v>
      </c>
      <c r="G74" s="74"/>
      <c r="H74" t="s">
        <v>160</v>
      </c>
      <c r="I74" t="s">
        <v>161</v>
      </c>
    </row>
    <row r="75" spans="1:14" ht="20.100000000000001" customHeight="1" x14ac:dyDescent="0.25">
      <c r="A75" s="62"/>
      <c r="B75" s="63" t="s">
        <v>162</v>
      </c>
      <c r="C75" s="64"/>
      <c r="D75" s="65" t="s">
        <v>52</v>
      </c>
      <c r="E75" s="66"/>
      <c r="F75" s="65" t="s">
        <v>53</v>
      </c>
      <c r="G75" s="29"/>
      <c r="H75" s="26" t="s">
        <v>54</v>
      </c>
      <c r="I75" s="26" t="s">
        <v>55</v>
      </c>
    </row>
    <row r="76" spans="1:14" x14ac:dyDescent="0.25">
      <c r="A76" s="25">
        <v>20</v>
      </c>
      <c r="B76" s="37" t="s">
        <v>163</v>
      </c>
      <c r="D76" s="72">
        <f>IF(D$9=0,0,D$22/D$9)</f>
        <v>83.666666666666671</v>
      </c>
      <c r="E76" s="74"/>
      <c r="F76" s="72">
        <f>IF(F$9=0,0,F$22/F$9)</f>
        <v>83.666666666666671</v>
      </c>
      <c r="G76" s="74"/>
      <c r="H76" t="s">
        <v>164</v>
      </c>
      <c r="I76" t="s">
        <v>165</v>
      </c>
    </row>
    <row r="77" spans="1:14" x14ac:dyDescent="0.25">
      <c r="A77" s="25">
        <v>21</v>
      </c>
      <c r="B77" s="37" t="s">
        <v>166</v>
      </c>
      <c r="D77" s="72">
        <f>IF(D$6=0,0,D$23/D$6)</f>
        <v>28.1</v>
      </c>
      <c r="E77" s="74"/>
      <c r="F77" s="72">
        <f>IF(F$6=0,0,F$23/F$6)</f>
        <v>0</v>
      </c>
      <c r="G77" s="74"/>
      <c r="H77" t="s">
        <v>167</v>
      </c>
      <c r="I77" t="s">
        <v>168</v>
      </c>
    </row>
    <row r="78" spans="1:14" x14ac:dyDescent="0.25">
      <c r="A78" s="25">
        <v>22</v>
      </c>
      <c r="B78" s="37" t="s">
        <v>112</v>
      </c>
      <c r="D78" s="80">
        <f>D$22</f>
        <v>5522</v>
      </c>
      <c r="E78" s="44"/>
      <c r="F78" s="80">
        <f>F$22</f>
        <v>5522</v>
      </c>
      <c r="G78" s="40"/>
      <c r="H78" t="s">
        <v>113</v>
      </c>
      <c r="I78"/>
    </row>
    <row r="79" spans="1:14" x14ac:dyDescent="0.25">
      <c r="A79" s="25">
        <v>23</v>
      </c>
      <c r="B79" s="37" t="s">
        <v>115</v>
      </c>
      <c r="D79" s="80">
        <f>D$23</f>
        <v>12645</v>
      </c>
      <c r="E79" s="44"/>
      <c r="F79" s="80">
        <f>F$23</f>
        <v>12645</v>
      </c>
      <c r="G79" s="40"/>
      <c r="H79" t="s">
        <v>116</v>
      </c>
      <c r="I79"/>
    </row>
    <row r="80" spans="1:14" x14ac:dyDescent="0.25">
      <c r="A80" s="25">
        <v>24</v>
      </c>
      <c r="B80" s="37" t="s">
        <v>419</v>
      </c>
      <c r="D80" s="376">
        <f>IF(D$10=0,0,D$79/D$10)</f>
        <v>90.97122302158273</v>
      </c>
      <c r="E80" s="44"/>
      <c r="F80" s="376">
        <f>IF(F$10=0,0,F$79/F$10)</f>
        <v>90.97122302158273</v>
      </c>
      <c r="G80" s="40"/>
      <c r="H80" t="s">
        <v>420</v>
      </c>
      <c r="I80" t="s">
        <v>165</v>
      </c>
    </row>
    <row r="81" spans="1:9" x14ac:dyDescent="0.25">
      <c r="A81" s="25">
        <v>25</v>
      </c>
      <c r="B81" s="37" t="s">
        <v>169</v>
      </c>
      <c r="D81" s="80">
        <f>D$76*D$62</f>
        <v>2641.4738000000002</v>
      </c>
      <c r="E81" s="74"/>
      <c r="F81" s="80">
        <f>F$76*F$62</f>
        <v>2641.4738000000002</v>
      </c>
      <c r="G81" s="74"/>
      <c r="H81" t="s">
        <v>170</v>
      </c>
      <c r="I81" t="s">
        <v>165</v>
      </c>
    </row>
    <row r="82" spans="1:9" ht="20.100000000000001" customHeight="1" x14ac:dyDescent="0.25">
      <c r="A82" s="62"/>
      <c r="B82" s="63" t="s">
        <v>171</v>
      </c>
      <c r="C82" s="64"/>
      <c r="D82" s="65" t="s">
        <v>52</v>
      </c>
      <c r="E82" s="66"/>
      <c r="F82" s="65" t="s">
        <v>53</v>
      </c>
      <c r="G82" s="29"/>
      <c r="H82" s="26" t="s">
        <v>54</v>
      </c>
      <c r="I82" s="26" t="s">
        <v>55</v>
      </c>
    </row>
    <row r="83" spans="1:9" x14ac:dyDescent="0.25">
      <c r="A83" s="25">
        <v>26</v>
      </c>
      <c r="B83" s="37" t="s">
        <v>172</v>
      </c>
      <c r="D83" s="374" t="s">
        <v>145</v>
      </c>
      <c r="E83" s="74"/>
      <c r="F83" s="374">
        <f>Hulptabel!$AG$1</f>
        <v>-16176.612903225805</v>
      </c>
      <c r="G83" s="74"/>
      <c r="H83" t="s">
        <v>173</v>
      </c>
      <c r="I83" t="s">
        <v>174</v>
      </c>
    </row>
    <row r="84" spans="1:9" x14ac:dyDescent="0.25">
      <c r="A84" s="25">
        <v>27</v>
      </c>
      <c r="B84" s="37" t="s">
        <v>175</v>
      </c>
      <c r="D84" s="375" t="s">
        <v>145</v>
      </c>
      <c r="E84" s="74"/>
      <c r="F84" s="375">
        <f>IF(Aanschafbudget&lt;&gt;0,F$83/Aanschafbudget,0)</f>
        <v>-0.64706451612903215</v>
      </c>
      <c r="G84" s="74"/>
      <c r="H84" t="s">
        <v>176</v>
      </c>
      <c r="I84" t="s">
        <v>177</v>
      </c>
    </row>
    <row r="85" spans="1:9" x14ac:dyDescent="0.25">
      <c r="A85" s="25">
        <v>28</v>
      </c>
      <c r="B85" s="37" t="s">
        <v>178</v>
      </c>
      <c r="D85" s="81">
        <f>IF(D$62=0,"-",12-(D$8/(D$21/((TRUNC(D$62)*12)+((D$62-TRUNC(D$62))*12)))))</f>
        <v>12</v>
      </c>
      <c r="E85" s="74"/>
      <c r="F85" s="81">
        <f>IF(F$62=0,"-",12-(F$8/(F$21/((TRUNC(F$62)*12)+((F$62-TRUNC(F$62))*12)))))</f>
        <v>12</v>
      </c>
      <c r="G85" s="74"/>
      <c r="H85" t="s">
        <v>179</v>
      </c>
      <c r="I85" t="s">
        <v>180</v>
      </c>
    </row>
    <row r="86" spans="1:9" hidden="1" x14ac:dyDescent="0.25"/>
    <row r="87" spans="1:9" hidden="1" x14ac:dyDescent="0.25"/>
    <row r="88" spans="1:9" hidden="1" x14ac:dyDescent="0.25"/>
    <row r="89" spans="1:9" hidden="1" x14ac:dyDescent="0.25"/>
    <row r="90" spans="1:9" hidden="1" x14ac:dyDescent="0.25"/>
    <row r="91" spans="1:9" hidden="1" x14ac:dyDescent="0.25"/>
    <row r="92" spans="1:9" hidden="1" x14ac:dyDescent="0.25"/>
    <row r="93" spans="1:9" hidden="1" x14ac:dyDescent="0.25"/>
    <row r="94" spans="1:9" hidden="1" x14ac:dyDescent="0.25"/>
    <row r="95" spans="1:9" hidden="1" x14ac:dyDescent="0.25"/>
    <row r="96" spans="1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</sheetData>
  <sheetProtection sheet="1" objects="1" scenarios="1" formatCells="0"/>
  <dataValidations count="1">
    <dataValidation type="list" allowBlank="1" showInputMessage="1" showErrorMessage="1" sqref="F5 D5">
      <formula1>"- Selecteer -,Student,Burger"</formula1>
    </dataValidation>
  </dataValidations>
  <pageMargins left="0.23622047244094491" right="0.23622047244094491" top="0.19685039370078741" bottom="0.31496062992125984" header="0.15748031496062992" footer="0.31496062992125984"/>
  <pageSetup paperSize="9" scale="7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0"/>
  <sheetViews>
    <sheetView zoomScale="90" zoomScaleNormal="90" workbookViewId="0">
      <pane ySplit="2" topLeftCell="A3" activePane="bottomLeft" state="frozenSplit"/>
      <selection pane="bottomLeft" activeCell="N57" sqref="N57"/>
    </sheetView>
  </sheetViews>
  <sheetFormatPr defaultColWidth="0" defaultRowHeight="15" customHeight="1" zeroHeight="1" x14ac:dyDescent="0.25"/>
  <cols>
    <col min="1" max="1" width="4.42578125" style="120" customWidth="1"/>
    <col min="2" max="2" width="4.7109375" style="207" bestFit="1" customWidth="1"/>
    <col min="3" max="3" width="18.7109375" style="208" customWidth="1"/>
    <col min="4" max="4" width="6" style="209" bestFit="1" customWidth="1"/>
    <col min="5" max="5" width="9.140625" style="210" customWidth="1"/>
    <col min="6" max="6" width="11.140625" style="208" bestFit="1" customWidth="1"/>
    <col min="7" max="7" width="14" style="211" customWidth="1"/>
    <col min="8" max="8" width="11.140625" style="212" customWidth="1"/>
    <col min="9" max="9" width="9.140625" style="213" customWidth="1"/>
    <col min="10" max="10" width="2.85546875" style="128" customWidth="1"/>
    <col min="11" max="11" width="16.5703125" style="92" customWidth="1"/>
    <col min="12" max="12" width="8.7109375" style="92" customWidth="1"/>
    <col min="13" max="13" width="12.85546875" style="93" customWidth="1"/>
    <col min="14" max="14" width="10" style="92" customWidth="1"/>
    <col min="15" max="15" width="36.85546875" style="94" customWidth="1"/>
    <col min="16" max="16" width="2.85546875" style="95" customWidth="1"/>
    <col min="17" max="17" width="6" style="215" bestFit="1" customWidth="1"/>
    <col min="18" max="18" width="5" style="216" bestFit="1" customWidth="1"/>
    <col min="19" max="19" width="6.140625" style="135" customWidth="1"/>
    <col min="20" max="20" width="9.85546875" style="217" bestFit="1" customWidth="1"/>
    <col min="21" max="21" width="6.7109375" style="216" customWidth="1"/>
    <col min="22" max="22" width="9.5703125" style="218" customWidth="1"/>
    <col min="23" max="23" width="4.5703125" style="219" bestFit="1" customWidth="1"/>
    <col min="24" max="24" width="8.28515625" style="220" customWidth="1"/>
    <col min="25" max="25" width="7.5703125" style="217" customWidth="1"/>
    <col min="26" max="26" width="9.5703125" style="219" bestFit="1" customWidth="1"/>
    <col min="27" max="27" width="11.5703125" style="221" bestFit="1" customWidth="1"/>
    <col min="28" max="28" width="9.5703125" style="217" bestFit="1" customWidth="1"/>
    <col min="29" max="30" width="11" style="222" customWidth="1"/>
    <col min="31" max="31" width="11" style="326" customWidth="1"/>
    <col min="32" max="32" width="11" style="222" customWidth="1"/>
    <col min="33" max="33" width="9.140625" style="222" customWidth="1"/>
    <col min="34" max="16384" width="9.140625" style="92" hidden="1"/>
  </cols>
  <sheetData>
    <row r="1" spans="1:33" x14ac:dyDescent="0.25">
      <c r="A1" s="83"/>
      <c r="B1" s="84"/>
      <c r="C1" s="85"/>
      <c r="D1" s="86">
        <f>COUNTIF(D$3:D$152,"*")</f>
        <v>66</v>
      </c>
      <c r="E1" s="87"/>
      <c r="F1" s="85"/>
      <c r="G1" s="88">
        <f>SUM(G$3:G$152)</f>
        <v>5522</v>
      </c>
      <c r="H1" s="89">
        <f>SUM(H$3:H$152)</f>
        <v>700960</v>
      </c>
      <c r="I1" s="90"/>
      <c r="J1" s="91"/>
      <c r="Q1" s="96">
        <f>SUM(Q$3:Q$152)</f>
        <v>103</v>
      </c>
      <c r="R1" s="97">
        <f>SUM(R$3:R$152)</f>
        <v>36</v>
      </c>
      <c r="S1" s="98">
        <f>AVERAGE(S$3:S$152)</f>
        <v>12.590909090909092</v>
      </c>
      <c r="T1" s="99">
        <f t="shared" ref="T1:AB1" si="0">SUM(T$3:T$152)</f>
        <v>12.83071073955718</v>
      </c>
      <c r="U1" s="100">
        <f t="shared" si="0"/>
        <v>139</v>
      </c>
      <c r="V1" s="101">
        <f t="shared" si="0"/>
        <v>12645</v>
      </c>
      <c r="W1" s="102">
        <f t="shared" si="0"/>
        <v>93</v>
      </c>
      <c r="X1" s="100">
        <f t="shared" si="0"/>
        <v>35</v>
      </c>
      <c r="Y1" s="101">
        <f t="shared" si="0"/>
        <v>11</v>
      </c>
      <c r="Z1" s="102">
        <f t="shared" si="0"/>
        <v>15</v>
      </c>
      <c r="AA1" s="100">
        <f t="shared" si="0"/>
        <v>50</v>
      </c>
      <c r="AB1" s="101">
        <f t="shared" si="0"/>
        <v>74</v>
      </c>
      <c r="AC1" s="103">
        <f>SUM(AC$3:AC$152)</f>
        <v>789285</v>
      </c>
      <c r="AD1" s="103">
        <f t="shared" ref="AD1:AF1" si="1">SUM(AD$3:AD$152)</f>
        <v>495235</v>
      </c>
      <c r="AE1" s="327">
        <f t="shared" si="1"/>
        <v>131665</v>
      </c>
      <c r="AF1" s="327">
        <f t="shared" si="1"/>
        <v>74060</v>
      </c>
      <c r="AG1" s="104">
        <f>SUM(AG$3:AG$152)</f>
        <v>-16176.612903225805</v>
      </c>
    </row>
    <row r="2" spans="1:33" ht="15" customHeight="1" x14ac:dyDescent="0.25">
      <c r="A2" s="105" t="s">
        <v>181</v>
      </c>
      <c r="B2" s="106" t="s">
        <v>182</v>
      </c>
      <c r="C2" s="107" t="s">
        <v>183</v>
      </c>
      <c r="D2" s="106" t="s">
        <v>184</v>
      </c>
      <c r="E2" s="108" t="s">
        <v>185</v>
      </c>
      <c r="F2" s="107" t="s">
        <v>186</v>
      </c>
      <c r="G2" s="109" t="s">
        <v>187</v>
      </c>
      <c r="H2" s="110" t="s">
        <v>188</v>
      </c>
      <c r="I2" s="111" t="s">
        <v>189</v>
      </c>
      <c r="J2" s="91"/>
      <c r="K2" s="112" t="s">
        <v>190</v>
      </c>
      <c r="L2" s="113"/>
      <c r="M2" s="113"/>
      <c r="N2" s="113"/>
      <c r="O2" s="114"/>
      <c r="Q2" s="115" t="s">
        <v>191</v>
      </c>
      <c r="R2" s="116" t="s">
        <v>192</v>
      </c>
      <c r="S2" s="117" t="s">
        <v>193</v>
      </c>
      <c r="T2" s="118" t="s">
        <v>194</v>
      </c>
      <c r="U2" s="116" t="s">
        <v>195</v>
      </c>
      <c r="V2" s="119" t="s">
        <v>196</v>
      </c>
      <c r="W2" s="115" t="s">
        <v>197</v>
      </c>
      <c r="X2" s="116" t="s">
        <v>198</v>
      </c>
      <c r="Y2" s="118" t="s">
        <v>199</v>
      </c>
      <c r="Z2" s="115" t="s">
        <v>200</v>
      </c>
      <c r="AA2" s="116" t="s">
        <v>201</v>
      </c>
      <c r="AB2" s="118" t="s">
        <v>202</v>
      </c>
      <c r="AC2" s="118" t="s">
        <v>203</v>
      </c>
      <c r="AD2" s="115" t="s">
        <v>197</v>
      </c>
      <c r="AE2" s="116" t="s">
        <v>198</v>
      </c>
      <c r="AF2" s="118" t="s">
        <v>199</v>
      </c>
      <c r="AG2" s="118" t="s">
        <v>204</v>
      </c>
    </row>
    <row r="3" spans="1:33" x14ac:dyDescent="0.25">
      <c r="A3" s="120">
        <f>ROW()-2</f>
        <v>1</v>
      </c>
      <c r="B3" s="121" t="s">
        <v>205</v>
      </c>
      <c r="C3" s="122" t="s">
        <v>206</v>
      </c>
      <c r="D3" s="123" t="s">
        <v>207</v>
      </c>
      <c r="E3" s="124">
        <v>2009</v>
      </c>
      <c r="F3" s="122" t="s">
        <v>208</v>
      </c>
      <c r="G3" s="125">
        <v>53</v>
      </c>
      <c r="H3" s="126">
        <f t="shared" ref="H3:H34" si="2">VLOOKUP($D3&amp;$F3,$K$36:$N$152,4,FALSE)</f>
        <v>17900</v>
      </c>
      <c r="I3" s="127">
        <f t="shared" ref="I3:I25" si="3">IF($E3&lt;&gt;0,$E3+levensduur,0)</f>
        <v>2040</v>
      </c>
      <c r="K3" s="129" t="s">
        <v>209</v>
      </c>
      <c r="L3" s="130"/>
      <c r="M3" s="131">
        <v>695</v>
      </c>
      <c r="N3" s="130" t="s">
        <v>210</v>
      </c>
      <c r="O3" s="132"/>
      <c r="Q3" s="133">
        <f t="shared" ref="Q3:Q66" si="4">IF(FIND("X",UPPER($D3)&amp;"X",1)&lt;=LEN($D3),U3,0)</f>
        <v>0</v>
      </c>
      <c r="R3" s="134">
        <f t="shared" ref="R3:R66" si="5">IF(VALUE(Q3)=0,$U3,0)</f>
        <v>4</v>
      </c>
      <c r="S3" s="135">
        <f t="shared" ref="S3:S34" si="6">IF($E3=0,"-",jaar-$E3)</f>
        <v>3</v>
      </c>
      <c r="T3" s="136">
        <f t="shared" ref="T3:T66" si="7">IF(ISBLANK($E3),"-",($H3/$H$1)*S3)</f>
        <v>7.6609221638895234E-2</v>
      </c>
      <c r="U3" s="134">
        <f t="shared" ref="U3:U66" si="8">IF(ISBLANK($D3),0,VALUE(IF(LEFT($D3,1)="W",MID($D3,2,1),IF(LEFT(D3,1)="C",MID($D3,2,1),IF(LEFT(D3,1)="O",MID($D3,2,1),IF(LEFT(D3,1)="B",MID($D3,2,1),LEFT(D3,1)))))))</f>
        <v>4</v>
      </c>
      <c r="V3" s="137">
        <f t="shared" ref="V3:V66" si="9">$G3*$U3</f>
        <v>212</v>
      </c>
      <c r="W3" s="133">
        <f t="shared" ref="W3:W66" si="10">IF($U3&lt;&gt;0, IF(ISERROR(VALUE(LEFT($D3,1))),0,$U3),0)</f>
        <v>4</v>
      </c>
      <c r="X3" s="134">
        <f t="shared" ref="X3:X66" si="11">IF($U3&lt;&gt;0, IF(LEFT($D3,1)="C",$U3,0),0)</f>
        <v>0</v>
      </c>
      <c r="Y3" s="137">
        <f t="shared" ref="Y3:Y66" si="12">IF($U3&lt;&gt;0, IF(LEFT($D3,1)="W",$U3,0),0)</f>
        <v>0</v>
      </c>
      <c r="Z3" s="133">
        <f t="shared" ref="Z3:Z66" si="13">IF($B3&lt;&gt;"", IF(VALUE(LEFT($B3,1))=1,$U3,0),0)</f>
        <v>0</v>
      </c>
      <c r="AA3" s="138">
        <f t="shared" ref="AA3:AA66" si="14">IF($B3&lt;&gt;"", IF(VALUE(LEFT($B3,1))=2,$U3,0),0)</f>
        <v>4</v>
      </c>
      <c r="AB3" s="139">
        <f t="shared" ref="AB3:AB66" si="15">IF($B3&lt;&gt;"", IF(VALUE(LEFT($B3,1))=3,$U3,0),0)</f>
        <v>0</v>
      </c>
      <c r="AC3" s="140">
        <f t="shared" ref="AC3:AC66" si="16">H3+(Q3*$M$3)+(R3*$M$4)</f>
        <v>19760</v>
      </c>
      <c r="AD3" s="328">
        <f>IF(W3&lt;&gt;0,$H3,0)</f>
        <v>17900</v>
      </c>
      <c r="AE3" s="329">
        <f t="shared" ref="AE3:AF18" si="17">IF(X3&lt;&gt;0,$H3,0)</f>
        <v>0</v>
      </c>
      <c r="AF3" s="330">
        <f t="shared" si="17"/>
        <v>0</v>
      </c>
      <c r="AG3" s="140">
        <f t="shared" ref="AG3:AG34" si="18">IF(levensduur&lt;&gt;0,(MAX($I3,peiljaar)-(levensduur+$E3+1))/levensduur*$AC3,0)</f>
        <v>-637.41935483870964</v>
      </c>
    </row>
    <row r="4" spans="1:33" x14ac:dyDescent="0.25">
      <c r="A4" s="120">
        <f t="shared" ref="A4:A67" si="19">ROW()-2</f>
        <v>2</v>
      </c>
      <c r="B4" s="121" t="s">
        <v>211</v>
      </c>
      <c r="C4" s="122" t="s">
        <v>212</v>
      </c>
      <c r="D4" s="123" t="s">
        <v>213</v>
      </c>
      <c r="E4" s="124">
        <v>2010</v>
      </c>
      <c r="F4" s="122" t="s">
        <v>214</v>
      </c>
      <c r="G4" s="125">
        <v>61</v>
      </c>
      <c r="H4" s="126">
        <f t="shared" si="2"/>
        <v>5775</v>
      </c>
      <c r="I4" s="127">
        <f t="shared" si="3"/>
        <v>2041</v>
      </c>
      <c r="K4" s="141" t="s">
        <v>215</v>
      </c>
      <c r="L4" s="142"/>
      <c r="M4" s="143">
        <v>465</v>
      </c>
      <c r="N4" s="142" t="s">
        <v>216</v>
      </c>
      <c r="O4" s="144"/>
      <c r="Q4" s="133">
        <f t="shared" si="4"/>
        <v>1</v>
      </c>
      <c r="R4" s="134">
        <f t="shared" si="5"/>
        <v>0</v>
      </c>
      <c r="S4" s="135">
        <f t="shared" si="6"/>
        <v>2</v>
      </c>
      <c r="T4" s="136">
        <f t="shared" si="7"/>
        <v>1.647740241953892E-2</v>
      </c>
      <c r="U4" s="134">
        <f t="shared" si="8"/>
        <v>1</v>
      </c>
      <c r="V4" s="137">
        <f t="shared" si="9"/>
        <v>61</v>
      </c>
      <c r="W4" s="133">
        <f t="shared" si="10"/>
        <v>1</v>
      </c>
      <c r="X4" s="134">
        <f t="shared" si="11"/>
        <v>0</v>
      </c>
      <c r="Y4" s="137">
        <f t="shared" si="12"/>
        <v>0</v>
      </c>
      <c r="Z4" s="133">
        <f t="shared" si="13"/>
        <v>0</v>
      </c>
      <c r="AA4" s="138">
        <f t="shared" si="14"/>
        <v>1</v>
      </c>
      <c r="AB4" s="137">
        <f t="shared" si="15"/>
        <v>0</v>
      </c>
      <c r="AC4" s="104">
        <f t="shared" si="16"/>
        <v>6470</v>
      </c>
      <c r="AD4" s="323">
        <f t="shared" ref="AD4:AD67" si="20">IF(W4&lt;&gt;0,$H4,0)</f>
        <v>5775</v>
      </c>
      <c r="AE4" s="325">
        <f t="shared" si="17"/>
        <v>0</v>
      </c>
      <c r="AF4" s="324">
        <f t="shared" si="17"/>
        <v>0</v>
      </c>
      <c r="AG4" s="104">
        <f t="shared" si="18"/>
        <v>-208.70967741935485</v>
      </c>
    </row>
    <row r="5" spans="1:33" x14ac:dyDescent="0.25">
      <c r="A5" s="120">
        <f t="shared" si="19"/>
        <v>3</v>
      </c>
      <c r="B5" s="121" t="s">
        <v>217</v>
      </c>
      <c r="C5" s="122" t="s">
        <v>218</v>
      </c>
      <c r="D5" s="123" t="s">
        <v>219</v>
      </c>
      <c r="E5" s="124">
        <v>2008</v>
      </c>
      <c r="F5" s="122" t="s">
        <v>208</v>
      </c>
      <c r="G5" s="125">
        <v>47</v>
      </c>
      <c r="H5" s="126">
        <f t="shared" si="2"/>
        <v>12700</v>
      </c>
      <c r="I5" s="127">
        <f t="shared" si="3"/>
        <v>2039</v>
      </c>
      <c r="K5" s="129" t="s">
        <v>220</v>
      </c>
      <c r="L5" s="130"/>
      <c r="M5" s="145">
        <f>H1</f>
        <v>700960</v>
      </c>
      <c r="N5" s="130" t="s">
        <v>221</v>
      </c>
      <c r="O5" s="132"/>
      <c r="Q5" s="133">
        <f t="shared" si="4"/>
        <v>2</v>
      </c>
      <c r="R5" s="134">
        <f t="shared" si="5"/>
        <v>0</v>
      </c>
      <c r="S5" s="135">
        <f t="shared" si="6"/>
        <v>4</v>
      </c>
      <c r="T5" s="136">
        <f t="shared" si="7"/>
        <v>7.2472038347409271E-2</v>
      </c>
      <c r="U5" s="134">
        <f t="shared" si="8"/>
        <v>2</v>
      </c>
      <c r="V5" s="137">
        <f t="shared" si="9"/>
        <v>94</v>
      </c>
      <c r="W5" s="133">
        <f t="shared" si="10"/>
        <v>2</v>
      </c>
      <c r="X5" s="134">
        <f t="shared" si="11"/>
        <v>0</v>
      </c>
      <c r="Y5" s="137">
        <f t="shared" si="12"/>
        <v>0</v>
      </c>
      <c r="Z5" s="133">
        <f t="shared" si="13"/>
        <v>2</v>
      </c>
      <c r="AA5" s="138">
        <f t="shared" si="14"/>
        <v>0</v>
      </c>
      <c r="AB5" s="137">
        <f t="shared" si="15"/>
        <v>0</v>
      </c>
      <c r="AC5" s="104">
        <f t="shared" si="16"/>
        <v>14090</v>
      </c>
      <c r="AD5" s="323">
        <f t="shared" si="20"/>
        <v>12700</v>
      </c>
      <c r="AE5" s="325">
        <f t="shared" si="17"/>
        <v>0</v>
      </c>
      <c r="AF5" s="324">
        <f t="shared" si="17"/>
        <v>0</v>
      </c>
      <c r="AG5" s="104">
        <f t="shared" si="18"/>
        <v>-454.51612903225805</v>
      </c>
    </row>
    <row r="6" spans="1:33" x14ac:dyDescent="0.25">
      <c r="A6" s="120">
        <f t="shared" si="19"/>
        <v>4</v>
      </c>
      <c r="B6" s="121">
        <v>3</v>
      </c>
      <c r="C6" s="122" t="s">
        <v>222</v>
      </c>
      <c r="D6" s="123" t="s">
        <v>223</v>
      </c>
      <c r="E6" s="124">
        <v>1997</v>
      </c>
      <c r="F6" s="146" t="s">
        <v>198</v>
      </c>
      <c r="G6" s="125">
        <v>43</v>
      </c>
      <c r="H6" s="126">
        <f t="shared" si="2"/>
        <v>11990</v>
      </c>
      <c r="I6" s="127">
        <f t="shared" si="3"/>
        <v>2028</v>
      </c>
      <c r="K6" s="147" t="s">
        <v>224</v>
      </c>
      <c r="L6" s="51"/>
      <c r="M6" s="148">
        <f>Q1*M3</f>
        <v>71585</v>
      </c>
      <c r="N6" s="51" t="s">
        <v>225</v>
      </c>
      <c r="Q6" s="133">
        <f t="shared" si="4"/>
        <v>0</v>
      </c>
      <c r="R6" s="134">
        <f t="shared" si="5"/>
        <v>4</v>
      </c>
      <c r="S6" s="135">
        <f t="shared" si="6"/>
        <v>15</v>
      </c>
      <c r="T6" s="136">
        <f t="shared" si="7"/>
        <v>0.25657669481853457</v>
      </c>
      <c r="U6" s="134">
        <f t="shared" si="8"/>
        <v>4</v>
      </c>
      <c r="V6" s="137">
        <f t="shared" si="9"/>
        <v>172</v>
      </c>
      <c r="W6" s="133">
        <f t="shared" si="10"/>
        <v>0</v>
      </c>
      <c r="X6" s="134">
        <f t="shared" si="11"/>
        <v>4</v>
      </c>
      <c r="Y6" s="137">
        <f t="shared" si="12"/>
        <v>0</v>
      </c>
      <c r="Z6" s="133">
        <f t="shared" si="13"/>
        <v>0</v>
      </c>
      <c r="AA6" s="138">
        <f t="shared" si="14"/>
        <v>0</v>
      </c>
      <c r="AB6" s="137">
        <f t="shared" si="15"/>
        <v>4</v>
      </c>
      <c r="AC6" s="104">
        <f t="shared" si="16"/>
        <v>13850</v>
      </c>
      <c r="AD6" s="323">
        <f t="shared" si="20"/>
        <v>0</v>
      </c>
      <c r="AE6" s="325">
        <f t="shared" si="17"/>
        <v>11990</v>
      </c>
      <c r="AF6" s="324">
        <f t="shared" si="17"/>
        <v>0</v>
      </c>
      <c r="AG6" s="104">
        <f t="shared" si="18"/>
        <v>-446.77419354838707</v>
      </c>
    </row>
    <row r="7" spans="1:33" x14ac:dyDescent="0.25">
      <c r="A7" s="120">
        <f t="shared" si="19"/>
        <v>5</v>
      </c>
      <c r="B7" s="121" t="s">
        <v>226</v>
      </c>
      <c r="C7" s="122" t="s">
        <v>227</v>
      </c>
      <c r="D7" s="123" t="s">
        <v>213</v>
      </c>
      <c r="E7" s="124">
        <v>2010</v>
      </c>
      <c r="F7" s="122" t="s">
        <v>208</v>
      </c>
      <c r="G7" s="125">
        <v>54</v>
      </c>
      <c r="H7" s="126">
        <f t="shared" si="2"/>
        <v>8250</v>
      </c>
      <c r="I7" s="127">
        <f t="shared" si="3"/>
        <v>2041</v>
      </c>
      <c r="K7" s="141" t="s">
        <v>228</v>
      </c>
      <c r="L7" s="142"/>
      <c r="M7" s="149">
        <f>R1*M4</f>
        <v>16740</v>
      </c>
      <c r="N7" s="142" t="s">
        <v>229</v>
      </c>
      <c r="O7" s="144"/>
      <c r="Q7" s="133">
        <f t="shared" si="4"/>
        <v>1</v>
      </c>
      <c r="R7" s="134">
        <f t="shared" si="5"/>
        <v>0</v>
      </c>
      <c r="S7" s="135">
        <f t="shared" si="6"/>
        <v>2</v>
      </c>
      <c r="T7" s="136">
        <f t="shared" si="7"/>
        <v>2.3539146313627028E-2</v>
      </c>
      <c r="U7" s="134">
        <f t="shared" si="8"/>
        <v>1</v>
      </c>
      <c r="V7" s="137">
        <f t="shared" si="9"/>
        <v>54</v>
      </c>
      <c r="W7" s="133">
        <f t="shared" si="10"/>
        <v>1</v>
      </c>
      <c r="X7" s="134">
        <f t="shared" si="11"/>
        <v>0</v>
      </c>
      <c r="Y7" s="137">
        <f t="shared" si="12"/>
        <v>0</v>
      </c>
      <c r="Z7" s="133">
        <f t="shared" si="13"/>
        <v>1</v>
      </c>
      <c r="AA7" s="138">
        <f t="shared" si="14"/>
        <v>0</v>
      </c>
      <c r="AB7" s="137">
        <f t="shared" si="15"/>
        <v>0</v>
      </c>
      <c r="AC7" s="104">
        <f t="shared" si="16"/>
        <v>8945</v>
      </c>
      <c r="AD7" s="323">
        <f t="shared" si="20"/>
        <v>8250</v>
      </c>
      <c r="AE7" s="325">
        <f t="shared" si="17"/>
        <v>0</v>
      </c>
      <c r="AF7" s="324">
        <f t="shared" si="17"/>
        <v>0</v>
      </c>
      <c r="AG7" s="104">
        <f t="shared" si="18"/>
        <v>-288.54838709677421</v>
      </c>
    </row>
    <row r="8" spans="1:33" x14ac:dyDescent="0.25">
      <c r="A8" s="120">
        <f t="shared" si="19"/>
        <v>6</v>
      </c>
      <c r="B8" s="121" t="s">
        <v>230</v>
      </c>
      <c r="C8" s="122" t="s">
        <v>231</v>
      </c>
      <c r="D8" s="123" t="s">
        <v>213</v>
      </c>
      <c r="E8" s="124">
        <v>1993</v>
      </c>
      <c r="F8" s="122" t="s">
        <v>214</v>
      </c>
      <c r="G8" s="125">
        <v>8</v>
      </c>
      <c r="H8" s="126">
        <f t="shared" si="2"/>
        <v>5775</v>
      </c>
      <c r="I8" s="127">
        <f t="shared" si="3"/>
        <v>2024</v>
      </c>
      <c r="K8" s="129" t="s">
        <v>61</v>
      </c>
      <c r="L8" s="130"/>
      <c r="M8" s="150">
        <f>Kentallen!$F$3</f>
        <v>2012</v>
      </c>
      <c r="N8" s="130" t="s">
        <v>232</v>
      </c>
      <c r="O8" s="132"/>
      <c r="Q8" s="133">
        <f t="shared" si="4"/>
        <v>1</v>
      </c>
      <c r="R8" s="134">
        <f t="shared" si="5"/>
        <v>0</v>
      </c>
      <c r="S8" s="135">
        <f t="shared" si="6"/>
        <v>19</v>
      </c>
      <c r="T8" s="136">
        <f t="shared" si="7"/>
        <v>0.15653532298561973</v>
      </c>
      <c r="U8" s="134">
        <f t="shared" si="8"/>
        <v>1</v>
      </c>
      <c r="V8" s="137">
        <f t="shared" si="9"/>
        <v>8</v>
      </c>
      <c r="W8" s="133">
        <f t="shared" si="10"/>
        <v>1</v>
      </c>
      <c r="X8" s="134">
        <f t="shared" si="11"/>
        <v>0</v>
      </c>
      <c r="Y8" s="137">
        <f t="shared" si="12"/>
        <v>0</v>
      </c>
      <c r="Z8" s="133">
        <f t="shared" si="13"/>
        <v>0</v>
      </c>
      <c r="AA8" s="138">
        <f t="shared" si="14"/>
        <v>0</v>
      </c>
      <c r="AB8" s="137">
        <f t="shared" si="15"/>
        <v>1</v>
      </c>
      <c r="AC8" s="104">
        <f t="shared" si="16"/>
        <v>6470</v>
      </c>
      <c r="AD8" s="323">
        <f t="shared" si="20"/>
        <v>5775</v>
      </c>
      <c r="AE8" s="325">
        <f t="shared" si="17"/>
        <v>0</v>
      </c>
      <c r="AF8" s="324">
        <f t="shared" si="17"/>
        <v>0</v>
      </c>
      <c r="AG8" s="104">
        <f t="shared" si="18"/>
        <v>-208.70967741935485</v>
      </c>
    </row>
    <row r="9" spans="1:33" ht="15" customHeight="1" x14ac:dyDescent="0.25">
      <c r="A9" s="120">
        <f t="shared" si="19"/>
        <v>7</v>
      </c>
      <c r="B9" s="121" t="s">
        <v>233</v>
      </c>
      <c r="C9" s="122" t="s">
        <v>234</v>
      </c>
      <c r="D9" s="123" t="s">
        <v>213</v>
      </c>
      <c r="E9" s="124">
        <v>2010</v>
      </c>
      <c r="F9" s="122" t="s">
        <v>214</v>
      </c>
      <c r="G9" s="125">
        <v>50</v>
      </c>
      <c r="H9" s="126">
        <f t="shared" si="2"/>
        <v>5775</v>
      </c>
      <c r="I9" s="127">
        <f t="shared" si="3"/>
        <v>2041</v>
      </c>
      <c r="K9" s="141" t="s">
        <v>235</v>
      </c>
      <c r="L9" s="142"/>
      <c r="M9" s="354">
        <f>Investeringsprognose!$A$3+1</f>
        <v>32</v>
      </c>
      <c r="N9" s="142" t="s">
        <v>236</v>
      </c>
      <c r="O9" s="144"/>
      <c r="Q9" s="133">
        <f t="shared" si="4"/>
        <v>1</v>
      </c>
      <c r="R9" s="134">
        <f t="shared" si="5"/>
        <v>0</v>
      </c>
      <c r="S9" s="135">
        <f t="shared" si="6"/>
        <v>2</v>
      </c>
      <c r="T9" s="136">
        <f t="shared" si="7"/>
        <v>1.647740241953892E-2</v>
      </c>
      <c r="U9" s="134">
        <f t="shared" si="8"/>
        <v>1</v>
      </c>
      <c r="V9" s="137">
        <f t="shared" si="9"/>
        <v>50</v>
      </c>
      <c r="W9" s="133">
        <f t="shared" si="10"/>
        <v>1</v>
      </c>
      <c r="X9" s="134">
        <f t="shared" si="11"/>
        <v>0</v>
      </c>
      <c r="Y9" s="137">
        <f t="shared" si="12"/>
        <v>0</v>
      </c>
      <c r="Z9" s="133">
        <f t="shared" si="13"/>
        <v>1</v>
      </c>
      <c r="AA9" s="138">
        <f t="shared" si="14"/>
        <v>0</v>
      </c>
      <c r="AB9" s="137">
        <f t="shared" si="15"/>
        <v>0</v>
      </c>
      <c r="AC9" s="104">
        <f t="shared" si="16"/>
        <v>6470</v>
      </c>
      <c r="AD9" s="323">
        <f t="shared" si="20"/>
        <v>5775</v>
      </c>
      <c r="AE9" s="325">
        <f t="shared" si="17"/>
        <v>0</v>
      </c>
      <c r="AF9" s="324">
        <f t="shared" si="17"/>
        <v>0</v>
      </c>
      <c r="AG9" s="104">
        <f t="shared" si="18"/>
        <v>-208.70967741935485</v>
      </c>
    </row>
    <row r="10" spans="1:33" x14ac:dyDescent="0.25">
      <c r="A10" s="120">
        <f t="shared" si="19"/>
        <v>8</v>
      </c>
      <c r="B10" s="121" t="s">
        <v>237</v>
      </c>
      <c r="C10" s="122" t="s">
        <v>238</v>
      </c>
      <c r="D10" s="123" t="s">
        <v>213</v>
      </c>
      <c r="E10" s="124">
        <v>1997</v>
      </c>
      <c r="F10" s="122" t="s">
        <v>208</v>
      </c>
      <c r="G10" s="125">
        <v>156</v>
      </c>
      <c r="H10" s="126">
        <f t="shared" si="2"/>
        <v>8250</v>
      </c>
      <c r="I10" s="127">
        <f t="shared" si="3"/>
        <v>2028</v>
      </c>
      <c r="K10" s="151"/>
      <c r="L10" s="151"/>
      <c r="M10" s="152"/>
      <c r="N10" s="151"/>
      <c r="O10" s="151"/>
      <c r="P10" s="153"/>
      <c r="Q10" s="133">
        <f t="shared" si="4"/>
        <v>1</v>
      </c>
      <c r="R10" s="134">
        <f t="shared" si="5"/>
        <v>0</v>
      </c>
      <c r="S10" s="135">
        <f t="shared" si="6"/>
        <v>15</v>
      </c>
      <c r="T10" s="136">
        <f t="shared" si="7"/>
        <v>0.17654359735220271</v>
      </c>
      <c r="U10" s="134">
        <f t="shared" si="8"/>
        <v>1</v>
      </c>
      <c r="V10" s="137">
        <f t="shared" si="9"/>
        <v>156</v>
      </c>
      <c r="W10" s="133">
        <f t="shared" si="10"/>
        <v>1</v>
      </c>
      <c r="X10" s="134">
        <f t="shared" si="11"/>
        <v>0</v>
      </c>
      <c r="Y10" s="137">
        <f t="shared" si="12"/>
        <v>0</v>
      </c>
      <c r="Z10" s="133">
        <f t="shared" si="13"/>
        <v>0</v>
      </c>
      <c r="AA10" s="138">
        <f t="shared" si="14"/>
        <v>0</v>
      </c>
      <c r="AB10" s="137">
        <f t="shared" si="15"/>
        <v>1</v>
      </c>
      <c r="AC10" s="104">
        <f t="shared" si="16"/>
        <v>8945</v>
      </c>
      <c r="AD10" s="323">
        <f t="shared" si="20"/>
        <v>8250</v>
      </c>
      <c r="AE10" s="325">
        <f t="shared" si="17"/>
        <v>0</v>
      </c>
      <c r="AF10" s="324">
        <f t="shared" si="17"/>
        <v>0</v>
      </c>
      <c r="AG10" s="104">
        <f t="shared" si="18"/>
        <v>-288.54838709677421</v>
      </c>
    </row>
    <row r="11" spans="1:33" x14ac:dyDescent="0.25">
      <c r="A11" s="120">
        <f t="shared" si="19"/>
        <v>9</v>
      </c>
      <c r="B11" s="121" t="s">
        <v>205</v>
      </c>
      <c r="C11" s="122" t="s">
        <v>239</v>
      </c>
      <c r="D11" s="123" t="s">
        <v>213</v>
      </c>
      <c r="E11" s="124">
        <v>2008</v>
      </c>
      <c r="F11" s="122" t="s">
        <v>208</v>
      </c>
      <c r="G11" s="125">
        <v>162</v>
      </c>
      <c r="H11" s="126">
        <f t="shared" si="2"/>
        <v>8250</v>
      </c>
      <c r="I11" s="127">
        <f t="shared" si="3"/>
        <v>2039</v>
      </c>
      <c r="K11" s="112" t="s">
        <v>240</v>
      </c>
      <c r="L11" s="113"/>
      <c r="M11" s="113"/>
      <c r="N11" s="113"/>
      <c r="O11" s="114"/>
      <c r="Q11" s="133">
        <f t="shared" si="4"/>
        <v>1</v>
      </c>
      <c r="R11" s="134">
        <f t="shared" si="5"/>
        <v>0</v>
      </c>
      <c r="S11" s="135">
        <f t="shared" si="6"/>
        <v>4</v>
      </c>
      <c r="T11" s="136">
        <f t="shared" si="7"/>
        <v>4.7078292627254055E-2</v>
      </c>
      <c r="U11" s="134">
        <f t="shared" si="8"/>
        <v>1</v>
      </c>
      <c r="V11" s="137">
        <f t="shared" si="9"/>
        <v>162</v>
      </c>
      <c r="W11" s="133">
        <f t="shared" si="10"/>
        <v>1</v>
      </c>
      <c r="X11" s="134">
        <f t="shared" si="11"/>
        <v>0</v>
      </c>
      <c r="Y11" s="137">
        <f t="shared" si="12"/>
        <v>0</v>
      </c>
      <c r="Z11" s="133">
        <f t="shared" si="13"/>
        <v>0</v>
      </c>
      <c r="AA11" s="138">
        <f t="shared" si="14"/>
        <v>1</v>
      </c>
      <c r="AB11" s="137">
        <f t="shared" si="15"/>
        <v>0</v>
      </c>
      <c r="AC11" s="104">
        <f t="shared" si="16"/>
        <v>8945</v>
      </c>
      <c r="AD11" s="323">
        <f t="shared" si="20"/>
        <v>8250</v>
      </c>
      <c r="AE11" s="325">
        <f t="shared" si="17"/>
        <v>0</v>
      </c>
      <c r="AF11" s="324">
        <f t="shared" si="17"/>
        <v>0</v>
      </c>
      <c r="AG11" s="104">
        <f t="shared" si="18"/>
        <v>-288.54838709677421</v>
      </c>
    </row>
    <row r="12" spans="1:33" x14ac:dyDescent="0.25">
      <c r="A12" s="120">
        <f t="shared" si="19"/>
        <v>10</v>
      </c>
      <c r="B12" s="121" t="s">
        <v>226</v>
      </c>
      <c r="C12" s="122" t="s">
        <v>241</v>
      </c>
      <c r="D12" s="123" t="s">
        <v>242</v>
      </c>
      <c r="E12" s="124">
        <v>2006</v>
      </c>
      <c r="F12" s="122" t="s">
        <v>208</v>
      </c>
      <c r="G12" s="125">
        <v>41</v>
      </c>
      <c r="H12" s="126">
        <f t="shared" si="2"/>
        <v>19700</v>
      </c>
      <c r="I12" s="127">
        <f t="shared" si="3"/>
        <v>2037</v>
      </c>
      <c r="K12" s="154" t="s">
        <v>243</v>
      </c>
      <c r="L12" s="155"/>
      <c r="M12" s="156">
        <f>D1</f>
        <v>66</v>
      </c>
      <c r="N12" s="51" t="s">
        <v>244</v>
      </c>
      <c r="Q12" s="133">
        <f t="shared" si="4"/>
        <v>4</v>
      </c>
      <c r="R12" s="134">
        <f t="shared" si="5"/>
        <v>0</v>
      </c>
      <c r="S12" s="135">
        <f t="shared" si="6"/>
        <v>6</v>
      </c>
      <c r="T12" s="136">
        <f t="shared" si="7"/>
        <v>0.16862588450125543</v>
      </c>
      <c r="U12" s="134">
        <f t="shared" si="8"/>
        <v>4</v>
      </c>
      <c r="V12" s="137">
        <f t="shared" si="9"/>
        <v>164</v>
      </c>
      <c r="W12" s="133">
        <f t="shared" si="10"/>
        <v>4</v>
      </c>
      <c r="X12" s="134">
        <f t="shared" si="11"/>
        <v>0</v>
      </c>
      <c r="Y12" s="137">
        <f t="shared" si="12"/>
        <v>0</v>
      </c>
      <c r="Z12" s="133">
        <f t="shared" si="13"/>
        <v>4</v>
      </c>
      <c r="AA12" s="138">
        <f t="shared" si="14"/>
        <v>0</v>
      </c>
      <c r="AB12" s="137">
        <f t="shared" si="15"/>
        <v>0</v>
      </c>
      <c r="AC12" s="104">
        <f t="shared" si="16"/>
        <v>22480</v>
      </c>
      <c r="AD12" s="323">
        <f t="shared" si="20"/>
        <v>19700</v>
      </c>
      <c r="AE12" s="325">
        <f t="shared" si="17"/>
        <v>0</v>
      </c>
      <c r="AF12" s="324">
        <f t="shared" si="17"/>
        <v>0</v>
      </c>
      <c r="AG12" s="104">
        <f t="shared" si="18"/>
        <v>-725.16129032258061</v>
      </c>
    </row>
    <row r="13" spans="1:33" x14ac:dyDescent="0.25">
      <c r="A13" s="120">
        <f t="shared" si="19"/>
        <v>11</v>
      </c>
      <c r="B13" s="121" t="s">
        <v>230</v>
      </c>
      <c r="C13" s="122" t="s">
        <v>245</v>
      </c>
      <c r="D13" s="123" t="s">
        <v>213</v>
      </c>
      <c r="E13" s="124">
        <v>2008</v>
      </c>
      <c r="F13" s="122" t="s">
        <v>214</v>
      </c>
      <c r="G13" s="125">
        <v>29</v>
      </c>
      <c r="H13" s="126">
        <f t="shared" si="2"/>
        <v>5775</v>
      </c>
      <c r="I13" s="127">
        <f t="shared" si="3"/>
        <v>2039</v>
      </c>
      <c r="K13" s="157" t="s">
        <v>91</v>
      </c>
      <c r="L13" s="155"/>
      <c r="M13" s="158">
        <f>COUNTIF($W$3:$W$152,"&lt;&gt;0")</f>
        <v>45</v>
      </c>
      <c r="N13" s="51" t="s">
        <v>384</v>
      </c>
      <c r="Q13" s="133">
        <f t="shared" si="4"/>
        <v>1</v>
      </c>
      <c r="R13" s="134">
        <f t="shared" si="5"/>
        <v>0</v>
      </c>
      <c r="S13" s="135">
        <f t="shared" si="6"/>
        <v>4</v>
      </c>
      <c r="T13" s="136">
        <f t="shared" si="7"/>
        <v>3.2954804839077839E-2</v>
      </c>
      <c r="U13" s="134">
        <f t="shared" si="8"/>
        <v>1</v>
      </c>
      <c r="V13" s="137">
        <f t="shared" si="9"/>
        <v>29</v>
      </c>
      <c r="W13" s="133">
        <f t="shared" si="10"/>
        <v>1</v>
      </c>
      <c r="X13" s="134">
        <f t="shared" si="11"/>
        <v>0</v>
      </c>
      <c r="Y13" s="137">
        <f t="shared" si="12"/>
        <v>0</v>
      </c>
      <c r="Z13" s="133">
        <f t="shared" si="13"/>
        <v>0</v>
      </c>
      <c r="AA13" s="138">
        <f t="shared" si="14"/>
        <v>0</v>
      </c>
      <c r="AB13" s="137">
        <f t="shared" si="15"/>
        <v>1</v>
      </c>
      <c r="AC13" s="104">
        <f t="shared" si="16"/>
        <v>6470</v>
      </c>
      <c r="AD13" s="323">
        <f t="shared" si="20"/>
        <v>5775</v>
      </c>
      <c r="AE13" s="325">
        <f t="shared" si="17"/>
        <v>0</v>
      </c>
      <c r="AF13" s="324">
        <f t="shared" si="17"/>
        <v>0</v>
      </c>
      <c r="AG13" s="104">
        <f t="shared" si="18"/>
        <v>-208.70967741935485</v>
      </c>
    </row>
    <row r="14" spans="1:33" x14ac:dyDescent="0.25">
      <c r="A14" s="120">
        <f t="shared" si="19"/>
        <v>12</v>
      </c>
      <c r="B14" s="121" t="s">
        <v>205</v>
      </c>
      <c r="C14" s="122" t="s">
        <v>248</v>
      </c>
      <c r="D14" s="123" t="s">
        <v>213</v>
      </c>
      <c r="E14" s="124">
        <v>2010</v>
      </c>
      <c r="F14" s="122" t="s">
        <v>208</v>
      </c>
      <c r="G14" s="125">
        <v>163</v>
      </c>
      <c r="H14" s="126">
        <f t="shared" si="2"/>
        <v>8250</v>
      </c>
      <c r="I14" s="127">
        <f t="shared" si="3"/>
        <v>2041</v>
      </c>
      <c r="K14" s="157" t="s">
        <v>94</v>
      </c>
      <c r="L14" s="155"/>
      <c r="M14" s="158">
        <f>COUNTIF($X$3:$X$152,"&lt;&gt;0")</f>
        <v>15</v>
      </c>
      <c r="N14" s="51" t="s">
        <v>385</v>
      </c>
      <c r="Q14" s="133">
        <f t="shared" si="4"/>
        <v>1</v>
      </c>
      <c r="R14" s="134">
        <f t="shared" si="5"/>
        <v>0</v>
      </c>
      <c r="S14" s="135">
        <f t="shared" si="6"/>
        <v>2</v>
      </c>
      <c r="T14" s="136">
        <f t="shared" si="7"/>
        <v>2.3539146313627028E-2</v>
      </c>
      <c r="U14" s="134">
        <f t="shared" si="8"/>
        <v>1</v>
      </c>
      <c r="V14" s="137">
        <f t="shared" si="9"/>
        <v>163</v>
      </c>
      <c r="W14" s="133">
        <f t="shared" si="10"/>
        <v>1</v>
      </c>
      <c r="X14" s="134">
        <f t="shared" si="11"/>
        <v>0</v>
      </c>
      <c r="Y14" s="137">
        <f t="shared" si="12"/>
        <v>0</v>
      </c>
      <c r="Z14" s="133">
        <f t="shared" si="13"/>
        <v>0</v>
      </c>
      <c r="AA14" s="138">
        <f t="shared" si="14"/>
        <v>1</v>
      </c>
      <c r="AB14" s="137">
        <f t="shared" si="15"/>
        <v>0</v>
      </c>
      <c r="AC14" s="104">
        <f t="shared" si="16"/>
        <v>8945</v>
      </c>
      <c r="AD14" s="323">
        <f t="shared" si="20"/>
        <v>8250</v>
      </c>
      <c r="AE14" s="325">
        <f t="shared" si="17"/>
        <v>0</v>
      </c>
      <c r="AF14" s="324">
        <f t="shared" si="17"/>
        <v>0</v>
      </c>
      <c r="AG14" s="104">
        <f t="shared" si="18"/>
        <v>-288.54838709677421</v>
      </c>
    </row>
    <row r="15" spans="1:33" x14ac:dyDescent="0.25">
      <c r="A15" s="120">
        <f t="shared" si="19"/>
        <v>13</v>
      </c>
      <c r="B15" s="121" t="s">
        <v>237</v>
      </c>
      <c r="C15" s="122" t="s">
        <v>250</v>
      </c>
      <c r="D15" s="123" t="s">
        <v>213</v>
      </c>
      <c r="E15" s="124">
        <v>1995</v>
      </c>
      <c r="F15" s="122" t="s">
        <v>214</v>
      </c>
      <c r="G15" s="125">
        <v>24</v>
      </c>
      <c r="H15" s="126">
        <f t="shared" si="2"/>
        <v>5775</v>
      </c>
      <c r="I15" s="127">
        <f t="shared" si="3"/>
        <v>2026</v>
      </c>
      <c r="K15" s="157" t="s">
        <v>97</v>
      </c>
      <c r="L15" s="155"/>
      <c r="M15" s="158">
        <f>COUNTIF($Y$3:$Y$152,"&lt;&gt;0")</f>
        <v>6</v>
      </c>
      <c r="N15" s="51" t="s">
        <v>386</v>
      </c>
      <c r="Q15" s="133">
        <f t="shared" si="4"/>
        <v>1</v>
      </c>
      <c r="R15" s="134">
        <f t="shared" si="5"/>
        <v>0</v>
      </c>
      <c r="S15" s="135">
        <f t="shared" si="6"/>
        <v>17</v>
      </c>
      <c r="T15" s="136">
        <f t="shared" si="7"/>
        <v>0.14005792056608082</v>
      </c>
      <c r="U15" s="134">
        <f t="shared" si="8"/>
        <v>1</v>
      </c>
      <c r="V15" s="137">
        <f t="shared" si="9"/>
        <v>24</v>
      </c>
      <c r="W15" s="133">
        <f t="shared" si="10"/>
        <v>1</v>
      </c>
      <c r="X15" s="134">
        <f t="shared" si="11"/>
        <v>0</v>
      </c>
      <c r="Y15" s="137">
        <f t="shared" si="12"/>
        <v>0</v>
      </c>
      <c r="Z15" s="133">
        <f t="shared" si="13"/>
        <v>0</v>
      </c>
      <c r="AA15" s="138">
        <f t="shared" si="14"/>
        <v>0</v>
      </c>
      <c r="AB15" s="137">
        <f t="shared" si="15"/>
        <v>1</v>
      </c>
      <c r="AC15" s="104">
        <f t="shared" si="16"/>
        <v>6470</v>
      </c>
      <c r="AD15" s="323">
        <f t="shared" si="20"/>
        <v>5775</v>
      </c>
      <c r="AE15" s="325">
        <f t="shared" si="17"/>
        <v>0</v>
      </c>
      <c r="AF15" s="324">
        <f t="shared" si="17"/>
        <v>0</v>
      </c>
      <c r="AG15" s="104">
        <f t="shared" si="18"/>
        <v>-208.70967741935485</v>
      </c>
    </row>
    <row r="16" spans="1:33" x14ac:dyDescent="0.25">
      <c r="A16" s="120">
        <f t="shared" si="19"/>
        <v>14</v>
      </c>
      <c r="B16" s="121" t="s">
        <v>252</v>
      </c>
      <c r="C16" s="122" t="s">
        <v>253</v>
      </c>
      <c r="D16" s="123" t="s">
        <v>213</v>
      </c>
      <c r="E16" s="124">
        <v>1984</v>
      </c>
      <c r="F16" s="122" t="s">
        <v>208</v>
      </c>
      <c r="G16" s="125">
        <v>58</v>
      </c>
      <c r="H16" s="126">
        <f t="shared" si="2"/>
        <v>8250</v>
      </c>
      <c r="I16" s="127">
        <f t="shared" si="3"/>
        <v>2015</v>
      </c>
      <c r="K16" s="154" t="s">
        <v>246</v>
      </c>
      <c r="L16" s="155"/>
      <c r="M16" s="156">
        <f>$U$1</f>
        <v>139</v>
      </c>
      <c r="N16" s="51" t="s">
        <v>247</v>
      </c>
      <c r="Q16" s="133">
        <f t="shared" si="4"/>
        <v>1</v>
      </c>
      <c r="R16" s="134">
        <f t="shared" si="5"/>
        <v>0</v>
      </c>
      <c r="S16" s="135">
        <f t="shared" si="6"/>
        <v>28</v>
      </c>
      <c r="T16" s="136">
        <f t="shared" si="7"/>
        <v>0.32954804839077839</v>
      </c>
      <c r="U16" s="134">
        <f t="shared" si="8"/>
        <v>1</v>
      </c>
      <c r="V16" s="137">
        <f t="shared" si="9"/>
        <v>58</v>
      </c>
      <c r="W16" s="133">
        <f t="shared" si="10"/>
        <v>1</v>
      </c>
      <c r="X16" s="134">
        <f t="shared" si="11"/>
        <v>0</v>
      </c>
      <c r="Y16" s="137">
        <f t="shared" si="12"/>
        <v>0</v>
      </c>
      <c r="Z16" s="133">
        <f t="shared" si="13"/>
        <v>0</v>
      </c>
      <c r="AA16" s="138">
        <f t="shared" si="14"/>
        <v>1</v>
      </c>
      <c r="AB16" s="137">
        <f t="shared" si="15"/>
        <v>0</v>
      </c>
      <c r="AC16" s="104">
        <f t="shared" si="16"/>
        <v>8945</v>
      </c>
      <c r="AD16" s="323">
        <f t="shared" si="20"/>
        <v>8250</v>
      </c>
      <c r="AE16" s="325">
        <f t="shared" si="17"/>
        <v>0</v>
      </c>
      <c r="AF16" s="324">
        <f t="shared" si="17"/>
        <v>0</v>
      </c>
      <c r="AG16" s="104">
        <f t="shared" si="18"/>
        <v>-288.54838709677421</v>
      </c>
    </row>
    <row r="17" spans="1:33" x14ac:dyDescent="0.25">
      <c r="A17" s="120">
        <f t="shared" si="19"/>
        <v>15</v>
      </c>
      <c r="B17" s="121" t="s">
        <v>205</v>
      </c>
      <c r="C17" s="122" t="s">
        <v>255</v>
      </c>
      <c r="D17" s="123" t="s">
        <v>213</v>
      </c>
      <c r="E17" s="124">
        <v>2003</v>
      </c>
      <c r="F17" s="122" t="s">
        <v>208</v>
      </c>
      <c r="G17" s="125">
        <v>139</v>
      </c>
      <c r="H17" s="126">
        <f t="shared" si="2"/>
        <v>8250</v>
      </c>
      <c r="I17" s="127">
        <f t="shared" si="3"/>
        <v>2034</v>
      </c>
      <c r="K17" s="157" t="s">
        <v>85</v>
      </c>
      <c r="L17" s="155"/>
      <c r="M17" s="158">
        <f>$Q$1</f>
        <v>103</v>
      </c>
      <c r="N17" s="51" t="s">
        <v>249</v>
      </c>
      <c r="Q17" s="133">
        <f t="shared" si="4"/>
        <v>1</v>
      </c>
      <c r="R17" s="134">
        <f t="shared" si="5"/>
        <v>0</v>
      </c>
      <c r="S17" s="135">
        <f t="shared" si="6"/>
        <v>9</v>
      </c>
      <c r="T17" s="136">
        <f t="shared" si="7"/>
        <v>0.10592615841132162</v>
      </c>
      <c r="U17" s="134">
        <f t="shared" si="8"/>
        <v>1</v>
      </c>
      <c r="V17" s="137">
        <f t="shared" si="9"/>
        <v>139</v>
      </c>
      <c r="W17" s="133">
        <f t="shared" si="10"/>
        <v>1</v>
      </c>
      <c r="X17" s="134">
        <f t="shared" si="11"/>
        <v>0</v>
      </c>
      <c r="Y17" s="137">
        <f t="shared" si="12"/>
        <v>0</v>
      </c>
      <c r="Z17" s="133">
        <f t="shared" si="13"/>
        <v>0</v>
      </c>
      <c r="AA17" s="138">
        <f t="shared" si="14"/>
        <v>1</v>
      </c>
      <c r="AB17" s="137">
        <f t="shared" si="15"/>
        <v>0</v>
      </c>
      <c r="AC17" s="104">
        <f t="shared" si="16"/>
        <v>8945</v>
      </c>
      <c r="AD17" s="323">
        <f t="shared" si="20"/>
        <v>8250</v>
      </c>
      <c r="AE17" s="325">
        <f t="shared" si="17"/>
        <v>0</v>
      </c>
      <c r="AF17" s="324">
        <f t="shared" si="17"/>
        <v>0</v>
      </c>
      <c r="AG17" s="104">
        <f t="shared" si="18"/>
        <v>-288.54838709677421</v>
      </c>
    </row>
    <row r="18" spans="1:33" ht="15" customHeight="1" x14ac:dyDescent="0.25">
      <c r="A18" s="120">
        <f t="shared" si="19"/>
        <v>16</v>
      </c>
      <c r="B18" s="121">
        <v>3</v>
      </c>
      <c r="C18" s="122" t="s">
        <v>257</v>
      </c>
      <c r="D18" s="123" t="s">
        <v>258</v>
      </c>
      <c r="E18" s="124">
        <v>1995</v>
      </c>
      <c r="F18" s="146" t="s">
        <v>199</v>
      </c>
      <c r="G18" s="125">
        <v>33</v>
      </c>
      <c r="H18" s="126">
        <f t="shared" si="2"/>
        <v>12920</v>
      </c>
      <c r="I18" s="127">
        <f t="shared" si="3"/>
        <v>2026</v>
      </c>
      <c r="K18" s="157" t="s">
        <v>88</v>
      </c>
      <c r="L18" s="155"/>
      <c r="M18" s="158">
        <f>$R$1</f>
        <v>36</v>
      </c>
      <c r="N18" s="51" t="s">
        <v>251</v>
      </c>
      <c r="Q18" s="133">
        <f t="shared" si="4"/>
        <v>2</v>
      </c>
      <c r="R18" s="134">
        <f t="shared" si="5"/>
        <v>0</v>
      </c>
      <c r="S18" s="135">
        <f t="shared" si="6"/>
        <v>17</v>
      </c>
      <c r="T18" s="136">
        <f t="shared" si="7"/>
        <v>0.31334170280757817</v>
      </c>
      <c r="U18" s="134">
        <f t="shared" si="8"/>
        <v>2</v>
      </c>
      <c r="V18" s="137">
        <f t="shared" si="9"/>
        <v>66</v>
      </c>
      <c r="W18" s="133">
        <f t="shared" si="10"/>
        <v>0</v>
      </c>
      <c r="X18" s="134">
        <f t="shared" si="11"/>
        <v>0</v>
      </c>
      <c r="Y18" s="137">
        <f t="shared" si="12"/>
        <v>2</v>
      </c>
      <c r="Z18" s="133">
        <f t="shared" si="13"/>
        <v>0</v>
      </c>
      <c r="AA18" s="138">
        <f t="shared" si="14"/>
        <v>0</v>
      </c>
      <c r="AB18" s="137">
        <f t="shared" si="15"/>
        <v>2</v>
      </c>
      <c r="AC18" s="104">
        <f t="shared" si="16"/>
        <v>14310</v>
      </c>
      <c r="AD18" s="323">
        <f t="shared" si="20"/>
        <v>0</v>
      </c>
      <c r="AE18" s="325">
        <f t="shared" si="17"/>
        <v>0</v>
      </c>
      <c r="AF18" s="324">
        <f t="shared" si="17"/>
        <v>12920</v>
      </c>
      <c r="AG18" s="104">
        <f t="shared" si="18"/>
        <v>-461.61290322580646</v>
      </c>
    </row>
    <row r="19" spans="1:33" x14ac:dyDescent="0.25">
      <c r="A19" s="120">
        <f t="shared" si="19"/>
        <v>17</v>
      </c>
      <c r="B19" s="121" t="s">
        <v>230</v>
      </c>
      <c r="C19" s="122" t="s">
        <v>260</v>
      </c>
      <c r="D19" s="123" t="s">
        <v>213</v>
      </c>
      <c r="E19" s="124">
        <v>2004</v>
      </c>
      <c r="F19" s="122" t="s">
        <v>214</v>
      </c>
      <c r="G19" s="125">
        <v>40</v>
      </c>
      <c r="H19" s="126">
        <f t="shared" si="2"/>
        <v>5775</v>
      </c>
      <c r="I19" s="127">
        <f t="shared" si="3"/>
        <v>2035</v>
      </c>
      <c r="K19" s="157" t="s">
        <v>91</v>
      </c>
      <c r="L19" s="155"/>
      <c r="M19" s="158">
        <f>$W$1</f>
        <v>93</v>
      </c>
      <c r="N19" s="51" t="s">
        <v>254</v>
      </c>
      <c r="Q19" s="133">
        <f t="shared" si="4"/>
        <v>1</v>
      </c>
      <c r="R19" s="134">
        <f t="shared" si="5"/>
        <v>0</v>
      </c>
      <c r="S19" s="135">
        <f t="shared" si="6"/>
        <v>8</v>
      </c>
      <c r="T19" s="136">
        <f t="shared" si="7"/>
        <v>6.5909609678155678E-2</v>
      </c>
      <c r="U19" s="134">
        <f t="shared" si="8"/>
        <v>1</v>
      </c>
      <c r="V19" s="137">
        <f t="shared" si="9"/>
        <v>40</v>
      </c>
      <c r="W19" s="133">
        <f t="shared" si="10"/>
        <v>1</v>
      </c>
      <c r="X19" s="134">
        <f t="shared" si="11"/>
        <v>0</v>
      </c>
      <c r="Y19" s="137">
        <f t="shared" si="12"/>
        <v>0</v>
      </c>
      <c r="Z19" s="133">
        <f t="shared" si="13"/>
        <v>0</v>
      </c>
      <c r="AA19" s="138">
        <f t="shared" si="14"/>
        <v>0</v>
      </c>
      <c r="AB19" s="137">
        <f t="shared" si="15"/>
        <v>1</v>
      </c>
      <c r="AC19" s="104">
        <f t="shared" si="16"/>
        <v>6470</v>
      </c>
      <c r="AD19" s="323">
        <f t="shared" si="20"/>
        <v>5775</v>
      </c>
      <c r="AE19" s="325">
        <f t="shared" ref="AE19:AE82" si="21">IF(X19&lt;&gt;0,$H19,0)</f>
        <v>0</v>
      </c>
      <c r="AF19" s="324">
        <f t="shared" ref="AF19:AF82" si="22">IF(Y19&lt;&gt;0,$H19,0)</f>
        <v>0</v>
      </c>
      <c r="AG19" s="104">
        <f t="shared" si="18"/>
        <v>-208.70967741935485</v>
      </c>
    </row>
    <row r="20" spans="1:33" x14ac:dyDescent="0.25">
      <c r="A20" s="120">
        <f t="shared" si="19"/>
        <v>18</v>
      </c>
      <c r="B20" s="121" t="s">
        <v>205</v>
      </c>
      <c r="C20" s="122" t="s">
        <v>261</v>
      </c>
      <c r="D20" s="123" t="s">
        <v>213</v>
      </c>
      <c r="E20" s="124">
        <v>1990</v>
      </c>
      <c r="F20" s="122" t="s">
        <v>208</v>
      </c>
      <c r="G20" s="125">
        <v>177</v>
      </c>
      <c r="H20" s="126">
        <f t="shared" si="2"/>
        <v>8250</v>
      </c>
      <c r="I20" s="127">
        <f t="shared" si="3"/>
        <v>2021</v>
      </c>
      <c r="K20" s="157" t="s">
        <v>94</v>
      </c>
      <c r="L20" s="155"/>
      <c r="M20" s="158">
        <f>$X$1</f>
        <v>35</v>
      </c>
      <c r="N20" s="51" t="s">
        <v>256</v>
      </c>
      <c r="Q20" s="133">
        <f t="shared" si="4"/>
        <v>1</v>
      </c>
      <c r="R20" s="134">
        <f t="shared" si="5"/>
        <v>0</v>
      </c>
      <c r="S20" s="135">
        <f t="shared" si="6"/>
        <v>22</v>
      </c>
      <c r="T20" s="136">
        <f t="shared" si="7"/>
        <v>0.25893060944989732</v>
      </c>
      <c r="U20" s="134">
        <f t="shared" si="8"/>
        <v>1</v>
      </c>
      <c r="V20" s="137">
        <f t="shared" si="9"/>
        <v>177</v>
      </c>
      <c r="W20" s="133">
        <f t="shared" si="10"/>
        <v>1</v>
      </c>
      <c r="X20" s="134">
        <f t="shared" si="11"/>
        <v>0</v>
      </c>
      <c r="Y20" s="137">
        <f t="shared" si="12"/>
        <v>0</v>
      </c>
      <c r="Z20" s="133">
        <f t="shared" si="13"/>
        <v>0</v>
      </c>
      <c r="AA20" s="138">
        <f t="shared" si="14"/>
        <v>1</v>
      </c>
      <c r="AB20" s="137">
        <f t="shared" si="15"/>
        <v>0</v>
      </c>
      <c r="AC20" s="104">
        <f t="shared" si="16"/>
        <v>8945</v>
      </c>
      <c r="AD20" s="323">
        <f t="shared" si="20"/>
        <v>8250</v>
      </c>
      <c r="AE20" s="325">
        <f t="shared" si="21"/>
        <v>0</v>
      </c>
      <c r="AF20" s="324">
        <f t="shared" si="22"/>
        <v>0</v>
      </c>
      <c r="AG20" s="104">
        <f t="shared" si="18"/>
        <v>-288.54838709677421</v>
      </c>
    </row>
    <row r="21" spans="1:33" x14ac:dyDescent="0.25">
      <c r="A21" s="120">
        <f t="shared" si="19"/>
        <v>19</v>
      </c>
      <c r="B21" s="121" t="s">
        <v>262</v>
      </c>
      <c r="C21" s="122" t="s">
        <v>263</v>
      </c>
      <c r="D21" s="123" t="s">
        <v>242</v>
      </c>
      <c r="E21" s="124">
        <v>1994</v>
      </c>
      <c r="F21" s="122" t="s">
        <v>208</v>
      </c>
      <c r="G21" s="125">
        <v>326</v>
      </c>
      <c r="H21" s="126">
        <f t="shared" si="2"/>
        <v>19700</v>
      </c>
      <c r="I21" s="127">
        <f t="shared" si="3"/>
        <v>2025</v>
      </c>
      <c r="J21" s="159"/>
      <c r="K21" s="157" t="s">
        <v>97</v>
      </c>
      <c r="L21" s="155"/>
      <c r="M21" s="158">
        <f>$Y$1</f>
        <v>11</v>
      </c>
      <c r="N21" s="51" t="s">
        <v>259</v>
      </c>
      <c r="Q21" s="133">
        <f t="shared" si="4"/>
        <v>4</v>
      </c>
      <c r="R21" s="134">
        <f t="shared" si="5"/>
        <v>0</v>
      </c>
      <c r="S21" s="135">
        <f t="shared" si="6"/>
        <v>18</v>
      </c>
      <c r="T21" s="136">
        <f t="shared" si="7"/>
        <v>0.50587765350376623</v>
      </c>
      <c r="U21" s="134">
        <f t="shared" si="8"/>
        <v>4</v>
      </c>
      <c r="V21" s="137">
        <f t="shared" si="9"/>
        <v>1304</v>
      </c>
      <c r="W21" s="133">
        <f t="shared" si="10"/>
        <v>4</v>
      </c>
      <c r="X21" s="134">
        <f t="shared" si="11"/>
        <v>0</v>
      </c>
      <c r="Y21" s="137">
        <f t="shared" si="12"/>
        <v>0</v>
      </c>
      <c r="Z21" s="133">
        <f t="shared" si="13"/>
        <v>0</v>
      </c>
      <c r="AA21" s="138">
        <f t="shared" si="14"/>
        <v>0</v>
      </c>
      <c r="AB21" s="137">
        <f t="shared" si="15"/>
        <v>4</v>
      </c>
      <c r="AC21" s="104">
        <f t="shared" si="16"/>
        <v>22480</v>
      </c>
      <c r="AD21" s="323">
        <f t="shared" si="20"/>
        <v>19700</v>
      </c>
      <c r="AE21" s="325">
        <f t="shared" si="21"/>
        <v>0</v>
      </c>
      <c r="AF21" s="324">
        <f t="shared" si="22"/>
        <v>0</v>
      </c>
      <c r="AG21" s="104">
        <f t="shared" si="18"/>
        <v>-725.16129032258061</v>
      </c>
    </row>
    <row r="22" spans="1:33" x14ac:dyDescent="0.25">
      <c r="A22" s="120">
        <f t="shared" si="19"/>
        <v>20</v>
      </c>
      <c r="B22" s="121" t="s">
        <v>230</v>
      </c>
      <c r="C22" s="122" t="s">
        <v>264</v>
      </c>
      <c r="D22" s="123" t="s">
        <v>213</v>
      </c>
      <c r="E22" s="124">
        <v>1998</v>
      </c>
      <c r="F22" s="122" t="s">
        <v>214</v>
      </c>
      <c r="G22" s="125">
        <v>10</v>
      </c>
      <c r="H22" s="126">
        <f t="shared" si="2"/>
        <v>5775</v>
      </c>
      <c r="I22" s="127">
        <f t="shared" si="3"/>
        <v>2029</v>
      </c>
      <c r="J22" s="159"/>
      <c r="K22" s="157" t="s">
        <v>100</v>
      </c>
      <c r="L22" s="155"/>
      <c r="M22" s="158">
        <f>$Z$1</f>
        <v>15</v>
      </c>
      <c r="N22" s="51" t="s">
        <v>101</v>
      </c>
      <c r="Q22" s="133">
        <f t="shared" si="4"/>
        <v>1</v>
      </c>
      <c r="R22" s="134">
        <f t="shared" si="5"/>
        <v>0</v>
      </c>
      <c r="S22" s="135">
        <f t="shared" si="6"/>
        <v>14</v>
      </c>
      <c r="T22" s="136">
        <f t="shared" si="7"/>
        <v>0.11534181693677244</v>
      </c>
      <c r="U22" s="134">
        <f t="shared" si="8"/>
        <v>1</v>
      </c>
      <c r="V22" s="137">
        <f t="shared" si="9"/>
        <v>10</v>
      </c>
      <c r="W22" s="133">
        <f t="shared" si="10"/>
        <v>1</v>
      </c>
      <c r="X22" s="134">
        <f t="shared" si="11"/>
        <v>0</v>
      </c>
      <c r="Y22" s="137">
        <f t="shared" si="12"/>
        <v>0</v>
      </c>
      <c r="Z22" s="133">
        <f t="shared" si="13"/>
        <v>0</v>
      </c>
      <c r="AA22" s="138">
        <f t="shared" si="14"/>
        <v>0</v>
      </c>
      <c r="AB22" s="137">
        <f t="shared" si="15"/>
        <v>1</v>
      </c>
      <c r="AC22" s="104">
        <f t="shared" si="16"/>
        <v>6470</v>
      </c>
      <c r="AD22" s="323">
        <f t="shared" si="20"/>
        <v>5775</v>
      </c>
      <c r="AE22" s="325">
        <f t="shared" si="21"/>
        <v>0</v>
      </c>
      <c r="AF22" s="324">
        <f t="shared" si="22"/>
        <v>0</v>
      </c>
      <c r="AG22" s="104">
        <f t="shared" si="18"/>
        <v>-208.70967741935485</v>
      </c>
    </row>
    <row r="23" spans="1:33" x14ac:dyDescent="0.25">
      <c r="A23" s="120">
        <f t="shared" si="19"/>
        <v>21</v>
      </c>
      <c r="B23" s="121" t="s">
        <v>205</v>
      </c>
      <c r="C23" s="122" t="s">
        <v>265</v>
      </c>
      <c r="D23" s="123" t="s">
        <v>242</v>
      </c>
      <c r="E23" s="124">
        <v>2001</v>
      </c>
      <c r="F23" s="122" t="s">
        <v>208</v>
      </c>
      <c r="G23" s="125">
        <v>204</v>
      </c>
      <c r="H23" s="126">
        <f t="shared" si="2"/>
        <v>19700</v>
      </c>
      <c r="I23" s="127">
        <f t="shared" si="3"/>
        <v>2032</v>
      </c>
      <c r="J23" s="159"/>
      <c r="K23" s="157" t="s">
        <v>103</v>
      </c>
      <c r="L23" s="155"/>
      <c r="M23" s="158">
        <f>$AA$1</f>
        <v>50</v>
      </c>
      <c r="N23" s="51" t="s">
        <v>104</v>
      </c>
      <c r="Q23" s="133">
        <f t="shared" si="4"/>
        <v>4</v>
      </c>
      <c r="R23" s="134">
        <f t="shared" si="5"/>
        <v>0</v>
      </c>
      <c r="S23" s="135">
        <f t="shared" si="6"/>
        <v>11</v>
      </c>
      <c r="T23" s="136">
        <f t="shared" si="7"/>
        <v>0.30914745491896828</v>
      </c>
      <c r="U23" s="134">
        <f t="shared" si="8"/>
        <v>4</v>
      </c>
      <c r="V23" s="137">
        <f t="shared" si="9"/>
        <v>816</v>
      </c>
      <c r="W23" s="133">
        <f t="shared" si="10"/>
        <v>4</v>
      </c>
      <c r="X23" s="134">
        <f t="shared" si="11"/>
        <v>0</v>
      </c>
      <c r="Y23" s="137">
        <f t="shared" si="12"/>
        <v>0</v>
      </c>
      <c r="Z23" s="133">
        <f t="shared" si="13"/>
        <v>0</v>
      </c>
      <c r="AA23" s="138">
        <f t="shared" si="14"/>
        <v>4</v>
      </c>
      <c r="AB23" s="137">
        <f t="shared" si="15"/>
        <v>0</v>
      </c>
      <c r="AC23" s="104">
        <f t="shared" si="16"/>
        <v>22480</v>
      </c>
      <c r="AD23" s="323">
        <f t="shared" si="20"/>
        <v>19700</v>
      </c>
      <c r="AE23" s="325">
        <f t="shared" si="21"/>
        <v>0</v>
      </c>
      <c r="AF23" s="324">
        <f t="shared" si="22"/>
        <v>0</v>
      </c>
      <c r="AG23" s="104">
        <f t="shared" si="18"/>
        <v>-725.16129032258061</v>
      </c>
    </row>
    <row r="24" spans="1:33" x14ac:dyDescent="0.25">
      <c r="A24" s="120">
        <f t="shared" si="19"/>
        <v>22</v>
      </c>
      <c r="B24" s="121" t="s">
        <v>252</v>
      </c>
      <c r="C24" s="122" t="s">
        <v>268</v>
      </c>
      <c r="D24" s="123" t="s">
        <v>213</v>
      </c>
      <c r="E24" s="124">
        <v>1983</v>
      </c>
      <c r="F24" s="122" t="s">
        <v>208</v>
      </c>
      <c r="G24" s="125">
        <v>127</v>
      </c>
      <c r="H24" s="126">
        <f t="shared" si="2"/>
        <v>8250</v>
      </c>
      <c r="I24" s="127">
        <f t="shared" si="3"/>
        <v>2014</v>
      </c>
      <c r="J24" s="159"/>
      <c r="K24" s="157" t="s">
        <v>106</v>
      </c>
      <c r="L24" s="155"/>
      <c r="M24" s="158">
        <f>$AB$1</f>
        <v>74</v>
      </c>
      <c r="N24" s="51" t="s">
        <v>107</v>
      </c>
      <c r="P24" s="163"/>
      <c r="Q24" s="133">
        <f t="shared" si="4"/>
        <v>1</v>
      </c>
      <c r="R24" s="134">
        <f t="shared" si="5"/>
        <v>0</v>
      </c>
      <c r="S24" s="135">
        <f t="shared" si="6"/>
        <v>29</v>
      </c>
      <c r="T24" s="136">
        <f t="shared" si="7"/>
        <v>0.34131762154759188</v>
      </c>
      <c r="U24" s="134">
        <f t="shared" si="8"/>
        <v>1</v>
      </c>
      <c r="V24" s="137">
        <f t="shared" si="9"/>
        <v>127</v>
      </c>
      <c r="W24" s="133">
        <f t="shared" si="10"/>
        <v>1</v>
      </c>
      <c r="X24" s="134">
        <f t="shared" si="11"/>
        <v>0</v>
      </c>
      <c r="Y24" s="137">
        <f t="shared" si="12"/>
        <v>0</v>
      </c>
      <c r="Z24" s="133">
        <f t="shared" si="13"/>
        <v>0</v>
      </c>
      <c r="AA24" s="138">
        <f t="shared" si="14"/>
        <v>1</v>
      </c>
      <c r="AB24" s="137">
        <f t="shared" si="15"/>
        <v>0</v>
      </c>
      <c r="AC24" s="104">
        <f t="shared" si="16"/>
        <v>8945</v>
      </c>
      <c r="AD24" s="323">
        <f t="shared" si="20"/>
        <v>8250</v>
      </c>
      <c r="AE24" s="325">
        <f t="shared" si="21"/>
        <v>0</v>
      </c>
      <c r="AF24" s="324">
        <f t="shared" si="22"/>
        <v>0</v>
      </c>
      <c r="AG24" s="104">
        <f t="shared" si="18"/>
        <v>-288.54838709677421</v>
      </c>
    </row>
    <row r="25" spans="1:33" x14ac:dyDescent="0.25">
      <c r="A25" s="120">
        <f t="shared" si="19"/>
        <v>23</v>
      </c>
      <c r="B25" s="121" t="s">
        <v>262</v>
      </c>
      <c r="C25" s="122" t="s">
        <v>270</v>
      </c>
      <c r="D25" s="123" t="s">
        <v>271</v>
      </c>
      <c r="E25" s="124">
        <v>2011</v>
      </c>
      <c r="F25" s="122" t="s">
        <v>208</v>
      </c>
      <c r="G25" s="125">
        <v>4</v>
      </c>
      <c r="H25" s="126">
        <f t="shared" si="2"/>
        <v>30500</v>
      </c>
      <c r="I25" s="127">
        <f t="shared" si="3"/>
        <v>2042</v>
      </c>
      <c r="J25" s="159"/>
      <c r="K25" s="154" t="s">
        <v>109</v>
      </c>
      <c r="L25" s="155"/>
      <c r="M25" s="160">
        <f>SUM(M5:M7)</f>
        <v>789285</v>
      </c>
      <c r="N25" s="51" t="s">
        <v>387</v>
      </c>
      <c r="P25" s="164"/>
      <c r="Q25" s="133">
        <f t="shared" si="4"/>
        <v>0</v>
      </c>
      <c r="R25" s="134">
        <f t="shared" si="5"/>
        <v>8</v>
      </c>
      <c r="S25" s="135">
        <f t="shared" si="6"/>
        <v>1</v>
      </c>
      <c r="T25" s="136">
        <f t="shared" si="7"/>
        <v>4.351175530700753E-2</v>
      </c>
      <c r="U25" s="134">
        <f t="shared" si="8"/>
        <v>8</v>
      </c>
      <c r="V25" s="137">
        <f t="shared" si="9"/>
        <v>32</v>
      </c>
      <c r="W25" s="133">
        <f t="shared" si="10"/>
        <v>8</v>
      </c>
      <c r="X25" s="134">
        <f t="shared" si="11"/>
        <v>0</v>
      </c>
      <c r="Y25" s="137">
        <f t="shared" si="12"/>
        <v>0</v>
      </c>
      <c r="Z25" s="133">
        <f t="shared" si="13"/>
        <v>0</v>
      </c>
      <c r="AA25" s="138">
        <f t="shared" si="14"/>
        <v>0</v>
      </c>
      <c r="AB25" s="137">
        <f t="shared" si="15"/>
        <v>8</v>
      </c>
      <c r="AC25" s="104">
        <f t="shared" si="16"/>
        <v>34220</v>
      </c>
      <c r="AD25" s="323">
        <f t="shared" si="20"/>
        <v>30500</v>
      </c>
      <c r="AE25" s="325">
        <f t="shared" si="21"/>
        <v>0</v>
      </c>
      <c r="AF25" s="324">
        <f t="shared" si="22"/>
        <v>0</v>
      </c>
      <c r="AG25" s="104">
        <f t="shared" si="18"/>
        <v>-1103.8709677419354</v>
      </c>
    </row>
    <row r="26" spans="1:33" x14ac:dyDescent="0.25">
      <c r="A26" s="120">
        <f t="shared" si="19"/>
        <v>24</v>
      </c>
      <c r="B26" s="121" t="s">
        <v>237</v>
      </c>
      <c r="C26" s="122" t="s">
        <v>274</v>
      </c>
      <c r="D26" s="123" t="s">
        <v>242</v>
      </c>
      <c r="E26" s="124">
        <v>1981</v>
      </c>
      <c r="F26" s="122" t="s">
        <v>208</v>
      </c>
      <c r="G26" s="125">
        <v>66</v>
      </c>
      <c r="H26" s="126">
        <f t="shared" si="2"/>
        <v>19700</v>
      </c>
      <c r="I26" s="127">
        <f>IF($E26&lt;&gt;0,$E26+levensduur,0)</f>
        <v>2012</v>
      </c>
      <c r="J26" s="159"/>
      <c r="K26" s="157" t="s">
        <v>91</v>
      </c>
      <c r="L26" s="155"/>
      <c r="M26" s="160">
        <f>$AD$1</f>
        <v>495235</v>
      </c>
      <c r="N26" s="51" t="s">
        <v>388</v>
      </c>
      <c r="Q26" s="133">
        <f t="shared" si="4"/>
        <v>4</v>
      </c>
      <c r="R26" s="134">
        <f t="shared" si="5"/>
        <v>0</v>
      </c>
      <c r="S26" s="135">
        <f t="shared" si="6"/>
        <v>31</v>
      </c>
      <c r="T26" s="136">
        <f t="shared" si="7"/>
        <v>0.87123373658981973</v>
      </c>
      <c r="U26" s="134">
        <f t="shared" si="8"/>
        <v>4</v>
      </c>
      <c r="V26" s="137">
        <f t="shared" si="9"/>
        <v>264</v>
      </c>
      <c r="W26" s="133">
        <f t="shared" si="10"/>
        <v>4</v>
      </c>
      <c r="X26" s="134">
        <f t="shared" si="11"/>
        <v>0</v>
      </c>
      <c r="Y26" s="137">
        <f t="shared" si="12"/>
        <v>0</v>
      </c>
      <c r="Z26" s="133">
        <f t="shared" si="13"/>
        <v>0</v>
      </c>
      <c r="AA26" s="138">
        <f t="shared" si="14"/>
        <v>0</v>
      </c>
      <c r="AB26" s="137">
        <f t="shared" si="15"/>
        <v>4</v>
      </c>
      <c r="AC26" s="104">
        <f t="shared" si="16"/>
        <v>22480</v>
      </c>
      <c r="AD26" s="323">
        <f t="shared" si="20"/>
        <v>19700</v>
      </c>
      <c r="AE26" s="325">
        <f t="shared" si="21"/>
        <v>0</v>
      </c>
      <c r="AF26" s="324">
        <f t="shared" si="22"/>
        <v>0</v>
      </c>
      <c r="AG26" s="104">
        <f t="shared" si="18"/>
        <v>-725.16129032258061</v>
      </c>
    </row>
    <row r="27" spans="1:33" x14ac:dyDescent="0.25">
      <c r="A27" s="120">
        <f t="shared" si="19"/>
        <v>25</v>
      </c>
      <c r="B27" s="121">
        <v>3</v>
      </c>
      <c r="C27" s="122" t="s">
        <v>277</v>
      </c>
      <c r="D27" s="123" t="s">
        <v>278</v>
      </c>
      <c r="E27" s="124">
        <v>2001</v>
      </c>
      <c r="F27" s="146" t="s">
        <v>198</v>
      </c>
      <c r="G27" s="125">
        <v>265</v>
      </c>
      <c r="H27" s="126">
        <f t="shared" si="2"/>
        <v>12890</v>
      </c>
      <c r="I27" s="127">
        <f>IF($E27&lt;&gt;0,$E27+levensduur,0)</f>
        <v>2032</v>
      </c>
      <c r="J27" s="159"/>
      <c r="K27" s="157" t="s">
        <v>94</v>
      </c>
      <c r="L27" s="155"/>
      <c r="M27" s="160">
        <f>$AE$1</f>
        <v>131665</v>
      </c>
      <c r="N27" s="51" t="s">
        <v>389</v>
      </c>
      <c r="P27" s="153"/>
      <c r="Q27" s="133">
        <f t="shared" si="4"/>
        <v>4</v>
      </c>
      <c r="R27" s="134">
        <f t="shared" si="5"/>
        <v>0</v>
      </c>
      <c r="S27" s="135">
        <f t="shared" si="6"/>
        <v>11</v>
      </c>
      <c r="T27" s="136">
        <f t="shared" si="7"/>
        <v>0.20227973065510155</v>
      </c>
      <c r="U27" s="134">
        <f t="shared" si="8"/>
        <v>4</v>
      </c>
      <c r="V27" s="137">
        <f t="shared" si="9"/>
        <v>1060</v>
      </c>
      <c r="W27" s="133">
        <f t="shared" si="10"/>
        <v>0</v>
      </c>
      <c r="X27" s="134">
        <f t="shared" si="11"/>
        <v>4</v>
      </c>
      <c r="Y27" s="137">
        <f t="shared" si="12"/>
        <v>0</v>
      </c>
      <c r="Z27" s="133">
        <f t="shared" si="13"/>
        <v>0</v>
      </c>
      <c r="AA27" s="138">
        <f t="shared" si="14"/>
        <v>0</v>
      </c>
      <c r="AB27" s="137">
        <f t="shared" si="15"/>
        <v>4</v>
      </c>
      <c r="AC27" s="104">
        <f t="shared" si="16"/>
        <v>15670</v>
      </c>
      <c r="AD27" s="323">
        <f t="shared" si="20"/>
        <v>0</v>
      </c>
      <c r="AE27" s="325">
        <f t="shared" si="21"/>
        <v>12890</v>
      </c>
      <c r="AF27" s="324">
        <f t="shared" si="22"/>
        <v>0</v>
      </c>
      <c r="AG27" s="104">
        <f t="shared" si="18"/>
        <v>-505.48387096774189</v>
      </c>
    </row>
    <row r="28" spans="1:33" x14ac:dyDescent="0.25">
      <c r="A28" s="120">
        <f t="shared" si="19"/>
        <v>26</v>
      </c>
      <c r="B28" s="121">
        <v>3</v>
      </c>
      <c r="C28" s="122" t="s">
        <v>279</v>
      </c>
      <c r="D28" s="123" t="s">
        <v>280</v>
      </c>
      <c r="E28" s="124">
        <v>1988</v>
      </c>
      <c r="F28" s="146" t="s">
        <v>199</v>
      </c>
      <c r="G28" s="125">
        <v>66</v>
      </c>
      <c r="H28" s="126">
        <f t="shared" si="2"/>
        <v>9460</v>
      </c>
      <c r="I28" s="127">
        <f>IF($E28&lt;&gt;0,$E28+levensduur,0)</f>
        <v>2019</v>
      </c>
      <c r="J28" s="159"/>
      <c r="K28" s="157" t="s">
        <v>97</v>
      </c>
      <c r="L28" s="155"/>
      <c r="M28" s="160">
        <f>$AF$1</f>
        <v>74060</v>
      </c>
      <c r="N28" s="51" t="s">
        <v>390</v>
      </c>
      <c r="Q28" s="133">
        <f t="shared" si="4"/>
        <v>1</v>
      </c>
      <c r="R28" s="134">
        <f t="shared" si="5"/>
        <v>0</v>
      </c>
      <c r="S28" s="135">
        <f t="shared" si="6"/>
        <v>24</v>
      </c>
      <c r="T28" s="136">
        <f t="shared" si="7"/>
        <v>0.32389865327550788</v>
      </c>
      <c r="U28" s="134">
        <f t="shared" si="8"/>
        <v>1</v>
      </c>
      <c r="V28" s="137">
        <f t="shared" si="9"/>
        <v>66</v>
      </c>
      <c r="W28" s="133">
        <f t="shared" si="10"/>
        <v>0</v>
      </c>
      <c r="X28" s="134">
        <f t="shared" si="11"/>
        <v>0</v>
      </c>
      <c r="Y28" s="137">
        <f t="shared" si="12"/>
        <v>1</v>
      </c>
      <c r="Z28" s="133">
        <f t="shared" si="13"/>
        <v>0</v>
      </c>
      <c r="AA28" s="138">
        <f t="shared" si="14"/>
        <v>0</v>
      </c>
      <c r="AB28" s="137">
        <f t="shared" si="15"/>
        <v>1</v>
      </c>
      <c r="AC28" s="104">
        <f t="shared" si="16"/>
        <v>10155</v>
      </c>
      <c r="AD28" s="323">
        <f t="shared" si="20"/>
        <v>0</v>
      </c>
      <c r="AE28" s="325">
        <f t="shared" si="21"/>
        <v>0</v>
      </c>
      <c r="AF28" s="324">
        <f t="shared" si="22"/>
        <v>9460</v>
      </c>
      <c r="AG28" s="104">
        <f t="shared" si="18"/>
        <v>-327.58064516129031</v>
      </c>
    </row>
    <row r="29" spans="1:33" x14ac:dyDescent="0.25">
      <c r="A29" s="120">
        <f t="shared" si="19"/>
        <v>27</v>
      </c>
      <c r="B29" s="121" t="s">
        <v>252</v>
      </c>
      <c r="C29" s="122" t="s">
        <v>283</v>
      </c>
      <c r="D29" s="123" t="s">
        <v>219</v>
      </c>
      <c r="E29" s="124">
        <v>1998</v>
      </c>
      <c r="F29" s="122" t="s">
        <v>208</v>
      </c>
      <c r="G29" s="125">
        <v>139</v>
      </c>
      <c r="H29" s="126">
        <f t="shared" si="2"/>
        <v>12700</v>
      </c>
      <c r="I29" s="127">
        <f>IF($E29&lt;&gt;0,$E29+levensduur,0)</f>
        <v>2029</v>
      </c>
      <c r="J29" s="159"/>
      <c r="K29" s="154" t="s">
        <v>266</v>
      </c>
      <c r="L29" s="155"/>
      <c r="M29" s="161">
        <f>$G$1</f>
        <v>5522</v>
      </c>
      <c r="N29" s="51" t="s">
        <v>267</v>
      </c>
      <c r="Q29" s="133">
        <f t="shared" si="4"/>
        <v>2</v>
      </c>
      <c r="R29" s="134">
        <f t="shared" si="5"/>
        <v>0</v>
      </c>
      <c r="S29" s="135">
        <f t="shared" si="6"/>
        <v>14</v>
      </c>
      <c r="T29" s="136">
        <f t="shared" si="7"/>
        <v>0.25365213421593247</v>
      </c>
      <c r="U29" s="134">
        <f t="shared" si="8"/>
        <v>2</v>
      </c>
      <c r="V29" s="137">
        <f t="shared" si="9"/>
        <v>278</v>
      </c>
      <c r="W29" s="133">
        <f t="shared" si="10"/>
        <v>2</v>
      </c>
      <c r="X29" s="134">
        <f t="shared" si="11"/>
        <v>0</v>
      </c>
      <c r="Y29" s="137">
        <f t="shared" si="12"/>
        <v>0</v>
      </c>
      <c r="Z29" s="133">
        <f t="shared" si="13"/>
        <v>0</v>
      </c>
      <c r="AA29" s="138">
        <f t="shared" si="14"/>
        <v>2</v>
      </c>
      <c r="AB29" s="137">
        <f t="shared" si="15"/>
        <v>0</v>
      </c>
      <c r="AC29" s="104">
        <f t="shared" si="16"/>
        <v>14090</v>
      </c>
      <c r="AD29" s="323">
        <f t="shared" si="20"/>
        <v>12700</v>
      </c>
      <c r="AE29" s="325">
        <f t="shared" si="21"/>
        <v>0</v>
      </c>
      <c r="AF29" s="324">
        <f t="shared" si="22"/>
        <v>0</v>
      </c>
      <c r="AG29" s="104">
        <f t="shared" si="18"/>
        <v>-454.51612903225805</v>
      </c>
    </row>
    <row r="30" spans="1:33" x14ac:dyDescent="0.25">
      <c r="A30" s="120">
        <f t="shared" si="19"/>
        <v>28</v>
      </c>
      <c r="B30" s="121">
        <v>2</v>
      </c>
      <c r="C30" s="122" t="s">
        <v>287</v>
      </c>
      <c r="D30" s="123" t="s">
        <v>258</v>
      </c>
      <c r="E30" s="124">
        <v>2000</v>
      </c>
      <c r="F30" s="146" t="s">
        <v>199</v>
      </c>
      <c r="G30" s="125">
        <v>129</v>
      </c>
      <c r="H30" s="126">
        <f t="shared" si="2"/>
        <v>12920</v>
      </c>
      <c r="I30" s="127">
        <f>IF($E30&lt;&gt;0,$E30+levensduur,0)</f>
        <v>2031</v>
      </c>
      <c r="J30" s="159"/>
      <c r="K30" s="154" t="s">
        <v>118</v>
      </c>
      <c r="L30" s="155"/>
      <c r="M30" s="162">
        <f>$S$1</f>
        <v>12.590909090909092</v>
      </c>
      <c r="N30" s="51" t="s">
        <v>269</v>
      </c>
      <c r="Q30" s="133">
        <f t="shared" si="4"/>
        <v>2</v>
      </c>
      <c r="R30" s="134">
        <f t="shared" si="5"/>
        <v>0</v>
      </c>
      <c r="S30" s="135">
        <f t="shared" si="6"/>
        <v>12</v>
      </c>
      <c r="T30" s="136">
        <f t="shared" si="7"/>
        <v>0.22118237845240812</v>
      </c>
      <c r="U30" s="134">
        <f t="shared" si="8"/>
        <v>2</v>
      </c>
      <c r="V30" s="137">
        <f t="shared" si="9"/>
        <v>258</v>
      </c>
      <c r="W30" s="133">
        <f t="shared" si="10"/>
        <v>0</v>
      </c>
      <c r="X30" s="134">
        <f t="shared" si="11"/>
        <v>0</v>
      </c>
      <c r="Y30" s="137">
        <f t="shared" si="12"/>
        <v>2</v>
      </c>
      <c r="Z30" s="133">
        <f t="shared" si="13"/>
        <v>0</v>
      </c>
      <c r="AA30" s="138">
        <f t="shared" si="14"/>
        <v>2</v>
      </c>
      <c r="AB30" s="137">
        <f t="shared" si="15"/>
        <v>0</v>
      </c>
      <c r="AC30" s="104">
        <f t="shared" si="16"/>
        <v>14310</v>
      </c>
      <c r="AD30" s="323">
        <f t="shared" si="20"/>
        <v>0</v>
      </c>
      <c r="AE30" s="325">
        <f t="shared" si="21"/>
        <v>0</v>
      </c>
      <c r="AF30" s="324">
        <f t="shared" si="22"/>
        <v>12920</v>
      </c>
      <c r="AG30" s="104">
        <f t="shared" si="18"/>
        <v>-461.61290322580646</v>
      </c>
    </row>
    <row r="31" spans="1:33" x14ac:dyDescent="0.25">
      <c r="A31" s="120">
        <f t="shared" si="19"/>
        <v>29</v>
      </c>
      <c r="B31" s="121">
        <v>3</v>
      </c>
      <c r="C31" s="122" t="s">
        <v>290</v>
      </c>
      <c r="D31" s="123" t="s">
        <v>291</v>
      </c>
      <c r="E31" s="124">
        <v>1977</v>
      </c>
      <c r="F31" s="146" t="s">
        <v>198</v>
      </c>
      <c r="G31" s="125">
        <v>20</v>
      </c>
      <c r="H31" s="126">
        <f t="shared" si="2"/>
        <v>9745</v>
      </c>
      <c r="I31" s="127">
        <f t="shared" ref="I31" si="23">IF($E31&lt;&gt;0,$E31+levensduur,0)</f>
        <v>2008</v>
      </c>
      <c r="J31" s="159"/>
      <c r="K31" s="157" t="s">
        <v>272</v>
      </c>
      <c r="L31" s="155"/>
      <c r="M31" s="162">
        <f>$T$1</f>
        <v>12.83071073955718</v>
      </c>
      <c r="N31" s="51" t="s">
        <v>273</v>
      </c>
      <c r="Q31" s="133">
        <f t="shared" si="4"/>
        <v>2</v>
      </c>
      <c r="R31" s="134">
        <f t="shared" si="5"/>
        <v>0</v>
      </c>
      <c r="S31" s="135">
        <f t="shared" si="6"/>
        <v>35</v>
      </c>
      <c r="T31" s="136">
        <f t="shared" si="7"/>
        <v>0.48658268660123261</v>
      </c>
      <c r="U31" s="134">
        <f t="shared" si="8"/>
        <v>2</v>
      </c>
      <c r="V31" s="137">
        <f t="shared" si="9"/>
        <v>40</v>
      </c>
      <c r="W31" s="133">
        <f t="shared" si="10"/>
        <v>0</v>
      </c>
      <c r="X31" s="134">
        <f t="shared" si="11"/>
        <v>2</v>
      </c>
      <c r="Y31" s="137">
        <f t="shared" si="12"/>
        <v>0</v>
      </c>
      <c r="Z31" s="133">
        <f t="shared" si="13"/>
        <v>0</v>
      </c>
      <c r="AA31" s="138">
        <f t="shared" si="14"/>
        <v>0</v>
      </c>
      <c r="AB31" s="137">
        <f t="shared" si="15"/>
        <v>2</v>
      </c>
      <c r="AC31" s="104">
        <f t="shared" si="16"/>
        <v>11135</v>
      </c>
      <c r="AD31" s="323">
        <f t="shared" si="20"/>
        <v>0</v>
      </c>
      <c r="AE31" s="325">
        <f t="shared" si="21"/>
        <v>9745</v>
      </c>
      <c r="AF31" s="324">
        <f t="shared" si="22"/>
        <v>0</v>
      </c>
      <c r="AG31" s="104">
        <f t="shared" si="18"/>
        <v>1077.5806451612902</v>
      </c>
    </row>
    <row r="32" spans="1:33" x14ac:dyDescent="0.25">
      <c r="A32" s="120">
        <f t="shared" si="19"/>
        <v>30</v>
      </c>
      <c r="B32" s="121" t="s">
        <v>233</v>
      </c>
      <c r="C32" s="122" t="s">
        <v>294</v>
      </c>
      <c r="D32" s="123" t="s">
        <v>242</v>
      </c>
      <c r="E32" s="124">
        <v>2010</v>
      </c>
      <c r="F32" s="122" t="s">
        <v>208</v>
      </c>
      <c r="G32" s="125">
        <v>57</v>
      </c>
      <c r="H32" s="126">
        <f t="shared" si="2"/>
        <v>19700</v>
      </c>
      <c r="I32" s="127">
        <f t="shared" ref="I32:I38" si="24">IF($E32&lt;&gt;0,$E32+levensduur,0)</f>
        <v>2041</v>
      </c>
      <c r="J32" s="159"/>
      <c r="K32" s="165" t="s">
        <v>275</v>
      </c>
      <c r="L32" s="166"/>
      <c r="M32" s="167">
        <f>$V$1</f>
        <v>12645</v>
      </c>
      <c r="N32" s="142" t="s">
        <v>276</v>
      </c>
      <c r="O32" s="144"/>
      <c r="Q32" s="133">
        <f t="shared" si="4"/>
        <v>4</v>
      </c>
      <c r="R32" s="134">
        <f t="shared" si="5"/>
        <v>0</v>
      </c>
      <c r="S32" s="135">
        <f t="shared" si="6"/>
        <v>2</v>
      </c>
      <c r="T32" s="136">
        <f t="shared" si="7"/>
        <v>5.6208628167085141E-2</v>
      </c>
      <c r="U32" s="134">
        <f t="shared" si="8"/>
        <v>4</v>
      </c>
      <c r="V32" s="137">
        <f t="shared" si="9"/>
        <v>228</v>
      </c>
      <c r="W32" s="133">
        <f t="shared" si="10"/>
        <v>4</v>
      </c>
      <c r="X32" s="134">
        <f t="shared" si="11"/>
        <v>0</v>
      </c>
      <c r="Y32" s="137">
        <f t="shared" si="12"/>
        <v>0</v>
      </c>
      <c r="Z32" s="133">
        <f t="shared" si="13"/>
        <v>4</v>
      </c>
      <c r="AA32" s="138">
        <f t="shared" si="14"/>
        <v>0</v>
      </c>
      <c r="AB32" s="137">
        <f t="shared" si="15"/>
        <v>0</v>
      </c>
      <c r="AC32" s="104">
        <f t="shared" si="16"/>
        <v>22480</v>
      </c>
      <c r="AD32" s="323">
        <f t="shared" si="20"/>
        <v>19700</v>
      </c>
      <c r="AE32" s="325">
        <f t="shared" si="21"/>
        <v>0</v>
      </c>
      <c r="AF32" s="324">
        <f t="shared" si="22"/>
        <v>0</v>
      </c>
      <c r="AG32" s="104">
        <f t="shared" si="18"/>
        <v>-725.16129032258061</v>
      </c>
    </row>
    <row r="33" spans="1:33" x14ac:dyDescent="0.25">
      <c r="A33" s="120">
        <f t="shared" si="19"/>
        <v>31</v>
      </c>
      <c r="B33" s="121" t="s">
        <v>296</v>
      </c>
      <c r="C33" s="122" t="s">
        <v>297</v>
      </c>
      <c r="D33" s="123" t="s">
        <v>213</v>
      </c>
      <c r="E33" s="124">
        <v>2000</v>
      </c>
      <c r="F33" s="122" t="s">
        <v>208</v>
      </c>
      <c r="G33" s="125">
        <v>39</v>
      </c>
      <c r="H33" s="126">
        <f t="shared" si="2"/>
        <v>8250</v>
      </c>
      <c r="I33" s="127">
        <f t="shared" si="24"/>
        <v>2031</v>
      </c>
      <c r="J33" s="159"/>
      <c r="K33" s="151"/>
      <c r="L33" s="151"/>
      <c r="M33" s="152"/>
      <c r="N33" s="151"/>
      <c r="O33" s="151"/>
      <c r="P33" s="153"/>
      <c r="Q33" s="133">
        <f t="shared" si="4"/>
        <v>1</v>
      </c>
      <c r="R33" s="134">
        <f t="shared" si="5"/>
        <v>0</v>
      </c>
      <c r="S33" s="135">
        <f t="shared" si="6"/>
        <v>12</v>
      </c>
      <c r="T33" s="136">
        <f t="shared" si="7"/>
        <v>0.14123487788176217</v>
      </c>
      <c r="U33" s="134">
        <f t="shared" si="8"/>
        <v>1</v>
      </c>
      <c r="V33" s="137">
        <f t="shared" si="9"/>
        <v>39</v>
      </c>
      <c r="W33" s="133">
        <f t="shared" si="10"/>
        <v>1</v>
      </c>
      <c r="X33" s="134">
        <f t="shared" si="11"/>
        <v>0</v>
      </c>
      <c r="Y33" s="137">
        <f t="shared" si="12"/>
        <v>0</v>
      </c>
      <c r="Z33" s="133">
        <f t="shared" si="13"/>
        <v>0</v>
      </c>
      <c r="AA33" s="138">
        <f t="shared" si="14"/>
        <v>0</v>
      </c>
      <c r="AB33" s="137">
        <f t="shared" si="15"/>
        <v>1</v>
      </c>
      <c r="AC33" s="104">
        <f t="shared" si="16"/>
        <v>8945</v>
      </c>
      <c r="AD33" s="323">
        <f t="shared" si="20"/>
        <v>8250</v>
      </c>
      <c r="AE33" s="325">
        <f t="shared" si="21"/>
        <v>0</v>
      </c>
      <c r="AF33" s="324">
        <f t="shared" si="22"/>
        <v>0</v>
      </c>
      <c r="AG33" s="104">
        <f t="shared" si="18"/>
        <v>-288.54838709677421</v>
      </c>
    </row>
    <row r="34" spans="1:33" x14ac:dyDescent="0.25">
      <c r="A34" s="120">
        <f t="shared" si="19"/>
        <v>32</v>
      </c>
      <c r="B34" s="121">
        <v>3</v>
      </c>
      <c r="C34" s="122" t="s">
        <v>298</v>
      </c>
      <c r="D34" s="123" t="s">
        <v>278</v>
      </c>
      <c r="E34" s="124">
        <v>1993</v>
      </c>
      <c r="F34" s="146" t="s">
        <v>198</v>
      </c>
      <c r="G34" s="125">
        <v>40</v>
      </c>
      <c r="H34" s="126">
        <f t="shared" si="2"/>
        <v>12890</v>
      </c>
      <c r="I34" s="127">
        <f t="shared" si="24"/>
        <v>2024</v>
      </c>
      <c r="J34" s="159"/>
      <c r="K34" s="168" t="s">
        <v>281</v>
      </c>
      <c r="L34" s="169"/>
      <c r="M34" s="170"/>
      <c r="N34" s="171"/>
      <c r="O34" s="172" t="s">
        <v>282</v>
      </c>
      <c r="P34" s="153"/>
      <c r="Q34" s="133">
        <f t="shared" si="4"/>
        <v>4</v>
      </c>
      <c r="R34" s="134">
        <f t="shared" si="5"/>
        <v>0</v>
      </c>
      <c r="S34" s="135">
        <f t="shared" si="6"/>
        <v>19</v>
      </c>
      <c r="T34" s="136">
        <f t="shared" si="7"/>
        <v>0.34939226204062995</v>
      </c>
      <c r="U34" s="134">
        <f t="shared" si="8"/>
        <v>4</v>
      </c>
      <c r="V34" s="137">
        <f t="shared" si="9"/>
        <v>160</v>
      </c>
      <c r="W34" s="133">
        <f t="shared" si="10"/>
        <v>0</v>
      </c>
      <c r="X34" s="134">
        <f t="shared" si="11"/>
        <v>4</v>
      </c>
      <c r="Y34" s="137">
        <f t="shared" si="12"/>
        <v>0</v>
      </c>
      <c r="Z34" s="133">
        <f t="shared" si="13"/>
        <v>0</v>
      </c>
      <c r="AA34" s="138">
        <f t="shared" si="14"/>
        <v>0</v>
      </c>
      <c r="AB34" s="137">
        <f t="shared" si="15"/>
        <v>4</v>
      </c>
      <c r="AC34" s="104">
        <f t="shared" si="16"/>
        <v>15670</v>
      </c>
      <c r="AD34" s="323">
        <f t="shared" si="20"/>
        <v>0</v>
      </c>
      <c r="AE34" s="325">
        <f t="shared" si="21"/>
        <v>12890</v>
      </c>
      <c r="AF34" s="324">
        <f t="shared" si="22"/>
        <v>0</v>
      </c>
      <c r="AG34" s="104">
        <f t="shared" si="18"/>
        <v>-505.48387096774189</v>
      </c>
    </row>
    <row r="35" spans="1:33" x14ac:dyDescent="0.25">
      <c r="A35" s="120">
        <f t="shared" si="19"/>
        <v>33</v>
      </c>
      <c r="B35" s="121">
        <v>3</v>
      </c>
      <c r="C35" s="122" t="s">
        <v>299</v>
      </c>
      <c r="D35" s="123" t="s">
        <v>300</v>
      </c>
      <c r="E35" s="124">
        <v>2010</v>
      </c>
      <c r="F35" s="146" t="s">
        <v>198</v>
      </c>
      <c r="G35" s="125">
        <v>63</v>
      </c>
      <c r="H35" s="126">
        <f t="shared" ref="H35:H66" si="25">VLOOKUP($D35&amp;$F35,$K$36:$N$152,4,FALSE)</f>
        <v>4990</v>
      </c>
      <c r="I35" s="127">
        <f t="shared" si="24"/>
        <v>2041</v>
      </c>
      <c r="J35" s="159"/>
      <c r="K35" s="173" t="s">
        <v>284</v>
      </c>
      <c r="L35" s="174" t="s">
        <v>184</v>
      </c>
      <c r="M35" s="175" t="s">
        <v>186</v>
      </c>
      <c r="N35" s="176" t="s">
        <v>285</v>
      </c>
      <c r="O35" s="177" t="s">
        <v>286</v>
      </c>
      <c r="P35" s="153"/>
      <c r="Q35" s="133">
        <f t="shared" si="4"/>
        <v>1</v>
      </c>
      <c r="R35" s="134">
        <f t="shared" si="5"/>
        <v>0</v>
      </c>
      <c r="S35" s="135">
        <f t="shared" ref="S35:S66" si="26">IF($E35=0,"-",jaar-$E35)</f>
        <v>2</v>
      </c>
      <c r="T35" s="136">
        <f t="shared" si="7"/>
        <v>1.4237616982424104E-2</v>
      </c>
      <c r="U35" s="134">
        <f t="shared" si="8"/>
        <v>1</v>
      </c>
      <c r="V35" s="137">
        <f t="shared" si="9"/>
        <v>63</v>
      </c>
      <c r="W35" s="133">
        <f t="shared" si="10"/>
        <v>0</v>
      </c>
      <c r="X35" s="134">
        <f t="shared" si="11"/>
        <v>1</v>
      </c>
      <c r="Y35" s="137">
        <f t="shared" si="12"/>
        <v>0</v>
      </c>
      <c r="Z35" s="133">
        <f t="shared" si="13"/>
        <v>0</v>
      </c>
      <c r="AA35" s="138">
        <f t="shared" si="14"/>
        <v>0</v>
      </c>
      <c r="AB35" s="137">
        <f t="shared" si="15"/>
        <v>1</v>
      </c>
      <c r="AC35" s="104">
        <f t="shared" si="16"/>
        <v>5685</v>
      </c>
      <c r="AD35" s="323">
        <f t="shared" si="20"/>
        <v>0</v>
      </c>
      <c r="AE35" s="325">
        <f t="shared" si="21"/>
        <v>4990</v>
      </c>
      <c r="AF35" s="324">
        <f t="shared" si="22"/>
        <v>0</v>
      </c>
      <c r="AG35" s="104">
        <f t="shared" ref="AG35:AG66" si="27">IF(levensduur&lt;&gt;0,(MAX($I35,peiljaar)-(levensduur+$E35+1))/levensduur*$AC35,0)</f>
        <v>-183.38709677419354</v>
      </c>
    </row>
    <row r="36" spans="1:33" x14ac:dyDescent="0.25">
      <c r="A36" s="120">
        <f t="shared" si="19"/>
        <v>34</v>
      </c>
      <c r="B36" s="121" t="s">
        <v>233</v>
      </c>
      <c r="C36" s="122" t="s">
        <v>301</v>
      </c>
      <c r="D36" s="123" t="s">
        <v>219</v>
      </c>
      <c r="E36" s="124">
        <v>2003</v>
      </c>
      <c r="F36" s="122" t="s">
        <v>208</v>
      </c>
      <c r="G36" s="125">
        <v>27</v>
      </c>
      <c r="H36" s="126">
        <f t="shared" si="25"/>
        <v>12700</v>
      </c>
      <c r="I36" s="127">
        <f t="shared" si="24"/>
        <v>2034</v>
      </c>
      <c r="J36" s="159"/>
      <c r="K36" s="178" t="str">
        <f>L36&amp;M36</f>
        <v>8+Empacher</v>
      </c>
      <c r="L36" s="179" t="s">
        <v>271</v>
      </c>
      <c r="M36" s="179" t="s">
        <v>288</v>
      </c>
      <c r="N36" s="180">
        <f>29000*1.19</f>
        <v>34510</v>
      </c>
      <c r="O36" s="177" t="s">
        <v>289</v>
      </c>
      <c r="P36" s="153"/>
      <c r="Q36" s="133">
        <f t="shared" si="4"/>
        <v>2</v>
      </c>
      <c r="R36" s="134">
        <f t="shared" si="5"/>
        <v>0</v>
      </c>
      <c r="S36" s="135">
        <f t="shared" si="26"/>
        <v>9</v>
      </c>
      <c r="T36" s="136">
        <f t="shared" si="7"/>
        <v>0.16306208628167085</v>
      </c>
      <c r="U36" s="134">
        <f t="shared" si="8"/>
        <v>2</v>
      </c>
      <c r="V36" s="137">
        <f t="shared" si="9"/>
        <v>54</v>
      </c>
      <c r="W36" s="133">
        <f t="shared" si="10"/>
        <v>2</v>
      </c>
      <c r="X36" s="134">
        <f t="shared" si="11"/>
        <v>0</v>
      </c>
      <c r="Y36" s="137">
        <f t="shared" si="12"/>
        <v>0</v>
      </c>
      <c r="Z36" s="133">
        <f t="shared" si="13"/>
        <v>2</v>
      </c>
      <c r="AA36" s="138">
        <f t="shared" si="14"/>
        <v>0</v>
      </c>
      <c r="AB36" s="137">
        <f t="shared" si="15"/>
        <v>0</v>
      </c>
      <c r="AC36" s="104">
        <f t="shared" si="16"/>
        <v>14090</v>
      </c>
      <c r="AD36" s="323">
        <f t="shared" si="20"/>
        <v>12700</v>
      </c>
      <c r="AE36" s="325">
        <f t="shared" si="21"/>
        <v>0</v>
      </c>
      <c r="AF36" s="324">
        <f t="shared" si="22"/>
        <v>0</v>
      </c>
      <c r="AG36" s="104">
        <f t="shared" si="27"/>
        <v>-454.51612903225805</v>
      </c>
    </row>
    <row r="37" spans="1:33" x14ac:dyDescent="0.25">
      <c r="A37" s="120">
        <f t="shared" si="19"/>
        <v>35</v>
      </c>
      <c r="B37" s="121" t="s">
        <v>230</v>
      </c>
      <c r="C37" s="122" t="s">
        <v>302</v>
      </c>
      <c r="D37" s="123" t="s">
        <v>213</v>
      </c>
      <c r="E37" s="124">
        <v>2004</v>
      </c>
      <c r="F37" s="122" t="s">
        <v>214</v>
      </c>
      <c r="G37" s="125">
        <v>72</v>
      </c>
      <c r="H37" s="126">
        <f t="shared" si="25"/>
        <v>5775</v>
      </c>
      <c r="I37" s="127">
        <f t="shared" si="24"/>
        <v>2035</v>
      </c>
      <c r="J37" s="159"/>
      <c r="K37" s="181" t="str">
        <f>L37&amp;M37</f>
        <v>8+Filippi</v>
      </c>
      <c r="L37" s="182" t="s">
        <v>271</v>
      </c>
      <c r="M37" s="182" t="s">
        <v>292</v>
      </c>
      <c r="N37" s="183">
        <v>30500</v>
      </c>
      <c r="O37" s="177" t="s">
        <v>293</v>
      </c>
      <c r="P37" s="153"/>
      <c r="Q37" s="133">
        <f t="shared" si="4"/>
        <v>1</v>
      </c>
      <c r="R37" s="134">
        <f t="shared" si="5"/>
        <v>0</v>
      </c>
      <c r="S37" s="135">
        <f t="shared" si="26"/>
        <v>8</v>
      </c>
      <c r="T37" s="136">
        <f t="shared" si="7"/>
        <v>6.5909609678155678E-2</v>
      </c>
      <c r="U37" s="134">
        <f t="shared" si="8"/>
        <v>1</v>
      </c>
      <c r="V37" s="137">
        <f t="shared" si="9"/>
        <v>72</v>
      </c>
      <c r="W37" s="133">
        <f t="shared" si="10"/>
        <v>1</v>
      </c>
      <c r="X37" s="134">
        <f t="shared" si="11"/>
        <v>0</v>
      </c>
      <c r="Y37" s="137">
        <f t="shared" si="12"/>
        <v>0</v>
      </c>
      <c r="Z37" s="133">
        <f t="shared" si="13"/>
        <v>0</v>
      </c>
      <c r="AA37" s="138">
        <f t="shared" si="14"/>
        <v>0</v>
      </c>
      <c r="AB37" s="137">
        <f t="shared" si="15"/>
        <v>1</v>
      </c>
      <c r="AC37" s="104">
        <f t="shared" si="16"/>
        <v>6470</v>
      </c>
      <c r="AD37" s="323">
        <f t="shared" si="20"/>
        <v>5775</v>
      </c>
      <c r="AE37" s="325">
        <f t="shared" si="21"/>
        <v>0</v>
      </c>
      <c r="AF37" s="324">
        <f t="shared" si="22"/>
        <v>0</v>
      </c>
      <c r="AG37" s="104">
        <f t="shared" si="27"/>
        <v>-208.70967741935485</v>
      </c>
    </row>
    <row r="38" spans="1:33" x14ac:dyDescent="0.25">
      <c r="A38" s="120">
        <f t="shared" si="19"/>
        <v>36</v>
      </c>
      <c r="B38" s="121">
        <v>3</v>
      </c>
      <c r="C38" s="122" t="s">
        <v>303</v>
      </c>
      <c r="D38" s="123" t="s">
        <v>223</v>
      </c>
      <c r="E38" s="124">
        <v>1984</v>
      </c>
      <c r="F38" s="146" t="s">
        <v>198</v>
      </c>
      <c r="G38" s="125">
        <v>22</v>
      </c>
      <c r="H38" s="126">
        <f t="shared" si="25"/>
        <v>11990</v>
      </c>
      <c r="I38" s="127">
        <f t="shared" si="24"/>
        <v>2015</v>
      </c>
      <c r="J38" s="159"/>
      <c r="K38" s="181" t="str">
        <f t="shared" ref="K38:K101" si="28">L38&amp;M38</f>
        <v>8+High-end</v>
      </c>
      <c r="L38" s="182" t="s">
        <v>271</v>
      </c>
      <c r="M38" s="146" t="s">
        <v>208</v>
      </c>
      <c r="N38" s="183">
        <f>N37</f>
        <v>30500</v>
      </c>
      <c r="O38" s="177" t="s">
        <v>295</v>
      </c>
      <c r="P38" s="153"/>
      <c r="Q38" s="133">
        <f t="shared" si="4"/>
        <v>0</v>
      </c>
      <c r="R38" s="134">
        <f t="shared" si="5"/>
        <v>4</v>
      </c>
      <c r="S38" s="135">
        <f t="shared" si="26"/>
        <v>28</v>
      </c>
      <c r="T38" s="136">
        <f t="shared" si="7"/>
        <v>0.47894316366126449</v>
      </c>
      <c r="U38" s="134">
        <f t="shared" si="8"/>
        <v>4</v>
      </c>
      <c r="V38" s="137">
        <f t="shared" si="9"/>
        <v>88</v>
      </c>
      <c r="W38" s="133">
        <f t="shared" si="10"/>
        <v>0</v>
      </c>
      <c r="X38" s="134">
        <f t="shared" si="11"/>
        <v>4</v>
      </c>
      <c r="Y38" s="137">
        <f t="shared" si="12"/>
        <v>0</v>
      </c>
      <c r="Z38" s="133">
        <f t="shared" si="13"/>
        <v>0</v>
      </c>
      <c r="AA38" s="138">
        <f t="shared" si="14"/>
        <v>0</v>
      </c>
      <c r="AB38" s="137">
        <f t="shared" si="15"/>
        <v>4</v>
      </c>
      <c r="AC38" s="104">
        <f t="shared" si="16"/>
        <v>13850</v>
      </c>
      <c r="AD38" s="323">
        <f t="shared" si="20"/>
        <v>0</v>
      </c>
      <c r="AE38" s="325">
        <f t="shared" si="21"/>
        <v>11990</v>
      </c>
      <c r="AF38" s="324">
        <f t="shared" si="22"/>
        <v>0</v>
      </c>
      <c r="AG38" s="104">
        <f t="shared" si="27"/>
        <v>-446.77419354838707</v>
      </c>
    </row>
    <row r="39" spans="1:33" x14ac:dyDescent="0.25">
      <c r="A39" s="120">
        <f t="shared" si="19"/>
        <v>37</v>
      </c>
      <c r="B39" s="121" t="s">
        <v>205</v>
      </c>
      <c r="C39" s="122" t="s">
        <v>305</v>
      </c>
      <c r="D39" s="123" t="s">
        <v>219</v>
      </c>
      <c r="E39" s="124">
        <v>2010</v>
      </c>
      <c r="F39" s="122" t="s">
        <v>214</v>
      </c>
      <c r="G39" s="125">
        <v>80</v>
      </c>
      <c r="H39" s="126">
        <f t="shared" si="25"/>
        <v>8890</v>
      </c>
      <c r="I39" s="127">
        <f t="shared" ref="I39:I48" si="29">IF($E39&lt;&gt;0,$E39+levensduur,0)</f>
        <v>2041</v>
      </c>
      <c r="J39" s="159"/>
      <c r="K39" s="181" t="str">
        <f t="shared" si="28"/>
        <v>8+Low-end</v>
      </c>
      <c r="L39" s="182" t="s">
        <v>271</v>
      </c>
      <c r="M39" s="146" t="s">
        <v>214</v>
      </c>
      <c r="N39" s="180">
        <f>N37*Reductie</f>
        <v>21350</v>
      </c>
      <c r="O39" s="184">
        <v>0.7</v>
      </c>
      <c r="P39" s="153"/>
      <c r="Q39" s="133">
        <f t="shared" si="4"/>
        <v>2</v>
      </c>
      <c r="R39" s="134">
        <f t="shared" si="5"/>
        <v>0</v>
      </c>
      <c r="S39" s="135">
        <f t="shared" si="26"/>
        <v>2</v>
      </c>
      <c r="T39" s="136">
        <f t="shared" si="7"/>
        <v>2.5365213421593244E-2</v>
      </c>
      <c r="U39" s="134">
        <f t="shared" si="8"/>
        <v>2</v>
      </c>
      <c r="V39" s="137">
        <f t="shared" si="9"/>
        <v>160</v>
      </c>
      <c r="W39" s="133">
        <f t="shared" si="10"/>
        <v>2</v>
      </c>
      <c r="X39" s="134">
        <f t="shared" si="11"/>
        <v>0</v>
      </c>
      <c r="Y39" s="137">
        <f t="shared" si="12"/>
        <v>0</v>
      </c>
      <c r="Z39" s="133">
        <f t="shared" si="13"/>
        <v>0</v>
      </c>
      <c r="AA39" s="138">
        <f t="shared" si="14"/>
        <v>2</v>
      </c>
      <c r="AB39" s="137">
        <f t="shared" si="15"/>
        <v>0</v>
      </c>
      <c r="AC39" s="104">
        <f t="shared" si="16"/>
        <v>10280</v>
      </c>
      <c r="AD39" s="323">
        <f t="shared" si="20"/>
        <v>8890</v>
      </c>
      <c r="AE39" s="325">
        <f t="shared" si="21"/>
        <v>0</v>
      </c>
      <c r="AF39" s="324">
        <f t="shared" si="22"/>
        <v>0</v>
      </c>
      <c r="AG39" s="104">
        <f t="shared" si="27"/>
        <v>-331.61290322580646</v>
      </c>
    </row>
    <row r="40" spans="1:33" x14ac:dyDescent="0.25">
      <c r="A40" s="120">
        <f t="shared" si="19"/>
        <v>38</v>
      </c>
      <c r="B40" s="121">
        <v>3</v>
      </c>
      <c r="C40" s="122" t="s">
        <v>306</v>
      </c>
      <c r="D40" s="123" t="s">
        <v>300</v>
      </c>
      <c r="E40" s="124">
        <v>1996</v>
      </c>
      <c r="F40" s="146" t="s">
        <v>198</v>
      </c>
      <c r="G40" s="125">
        <v>31</v>
      </c>
      <c r="H40" s="126">
        <f t="shared" si="25"/>
        <v>4990</v>
      </c>
      <c r="I40" s="127">
        <f t="shared" si="29"/>
        <v>2027</v>
      </c>
      <c r="J40" s="159"/>
      <c r="K40" s="181" t="str">
        <f t="shared" si="28"/>
        <v>4+Empacher</v>
      </c>
      <c r="L40" s="182" t="s">
        <v>207</v>
      </c>
      <c r="M40" s="179" t="s">
        <v>288</v>
      </c>
      <c r="N40" s="180">
        <f>17115*1.19</f>
        <v>20366.849999999999</v>
      </c>
      <c r="O40" s="185"/>
      <c r="P40" s="153"/>
      <c r="Q40" s="133">
        <f t="shared" si="4"/>
        <v>1</v>
      </c>
      <c r="R40" s="134">
        <f t="shared" si="5"/>
        <v>0</v>
      </c>
      <c r="S40" s="135">
        <f t="shared" si="26"/>
        <v>16</v>
      </c>
      <c r="T40" s="136">
        <f t="shared" si="7"/>
        <v>0.11390093585939283</v>
      </c>
      <c r="U40" s="134">
        <f t="shared" si="8"/>
        <v>1</v>
      </c>
      <c r="V40" s="137">
        <f t="shared" si="9"/>
        <v>31</v>
      </c>
      <c r="W40" s="133">
        <f t="shared" si="10"/>
        <v>0</v>
      </c>
      <c r="X40" s="134">
        <f t="shared" si="11"/>
        <v>1</v>
      </c>
      <c r="Y40" s="137">
        <f t="shared" si="12"/>
        <v>0</v>
      </c>
      <c r="Z40" s="133">
        <f t="shared" si="13"/>
        <v>0</v>
      </c>
      <c r="AA40" s="138">
        <f t="shared" si="14"/>
        <v>0</v>
      </c>
      <c r="AB40" s="137">
        <f t="shared" si="15"/>
        <v>1</v>
      </c>
      <c r="AC40" s="104">
        <f t="shared" si="16"/>
        <v>5685</v>
      </c>
      <c r="AD40" s="323">
        <f t="shared" si="20"/>
        <v>0</v>
      </c>
      <c r="AE40" s="325">
        <f t="shared" si="21"/>
        <v>4990</v>
      </c>
      <c r="AF40" s="324">
        <f t="shared" si="22"/>
        <v>0</v>
      </c>
      <c r="AG40" s="104">
        <f t="shared" si="27"/>
        <v>-183.38709677419354</v>
      </c>
    </row>
    <row r="41" spans="1:33" x14ac:dyDescent="0.25">
      <c r="A41" s="120">
        <f t="shared" si="19"/>
        <v>39</v>
      </c>
      <c r="B41" s="121" t="s">
        <v>252</v>
      </c>
      <c r="C41" s="122" t="s">
        <v>307</v>
      </c>
      <c r="D41" s="123" t="s">
        <v>219</v>
      </c>
      <c r="E41" s="124">
        <v>2010</v>
      </c>
      <c r="F41" s="122" t="s">
        <v>214</v>
      </c>
      <c r="G41" s="125">
        <v>183</v>
      </c>
      <c r="H41" s="126">
        <f t="shared" si="25"/>
        <v>8890</v>
      </c>
      <c r="I41" s="127">
        <f t="shared" si="29"/>
        <v>2041</v>
      </c>
      <c r="J41" s="159"/>
      <c r="K41" s="181" t="str">
        <f t="shared" si="28"/>
        <v>4+Filippi</v>
      </c>
      <c r="L41" s="182" t="s">
        <v>207</v>
      </c>
      <c r="M41" s="182" t="s">
        <v>292</v>
      </c>
      <c r="N41" s="180">
        <v>17900</v>
      </c>
      <c r="O41" s="185"/>
      <c r="P41" s="153"/>
      <c r="Q41" s="133">
        <f t="shared" si="4"/>
        <v>2</v>
      </c>
      <c r="R41" s="134">
        <f t="shared" si="5"/>
        <v>0</v>
      </c>
      <c r="S41" s="135">
        <f t="shared" si="26"/>
        <v>2</v>
      </c>
      <c r="T41" s="136">
        <f t="shared" si="7"/>
        <v>2.5365213421593244E-2</v>
      </c>
      <c r="U41" s="134">
        <f t="shared" si="8"/>
        <v>2</v>
      </c>
      <c r="V41" s="137">
        <f t="shared" si="9"/>
        <v>366</v>
      </c>
      <c r="W41" s="133">
        <f t="shared" si="10"/>
        <v>2</v>
      </c>
      <c r="X41" s="134">
        <f t="shared" si="11"/>
        <v>0</v>
      </c>
      <c r="Y41" s="137">
        <f t="shared" si="12"/>
        <v>0</v>
      </c>
      <c r="Z41" s="133">
        <f t="shared" si="13"/>
        <v>0</v>
      </c>
      <c r="AA41" s="138">
        <f t="shared" si="14"/>
        <v>2</v>
      </c>
      <c r="AB41" s="137">
        <f t="shared" si="15"/>
        <v>0</v>
      </c>
      <c r="AC41" s="104">
        <f t="shared" si="16"/>
        <v>10280</v>
      </c>
      <c r="AD41" s="323">
        <f t="shared" si="20"/>
        <v>8890</v>
      </c>
      <c r="AE41" s="325">
        <f t="shared" si="21"/>
        <v>0</v>
      </c>
      <c r="AF41" s="324">
        <f t="shared" si="22"/>
        <v>0</v>
      </c>
      <c r="AG41" s="104">
        <f t="shared" si="27"/>
        <v>-331.61290322580646</v>
      </c>
    </row>
    <row r="42" spans="1:33" x14ac:dyDescent="0.25">
      <c r="A42" s="120">
        <f t="shared" si="19"/>
        <v>40</v>
      </c>
      <c r="B42" s="121">
        <v>2</v>
      </c>
      <c r="C42" s="122" t="s">
        <v>308</v>
      </c>
      <c r="D42" s="123" t="s">
        <v>291</v>
      </c>
      <c r="E42" s="124">
        <v>2003</v>
      </c>
      <c r="F42" s="146" t="s">
        <v>198</v>
      </c>
      <c r="G42" s="125">
        <v>148</v>
      </c>
      <c r="H42" s="126">
        <f t="shared" si="25"/>
        <v>9745</v>
      </c>
      <c r="I42" s="127">
        <f t="shared" si="29"/>
        <v>2034</v>
      </c>
      <c r="J42" s="159"/>
      <c r="K42" s="181" t="str">
        <f t="shared" si="28"/>
        <v>4+High-end</v>
      </c>
      <c r="L42" s="182" t="s">
        <v>207</v>
      </c>
      <c r="M42" s="146" t="s">
        <v>208</v>
      </c>
      <c r="N42" s="180">
        <f>N41</f>
        <v>17900</v>
      </c>
      <c r="O42" s="185"/>
      <c r="P42" s="153"/>
      <c r="Q42" s="133">
        <f t="shared" si="4"/>
        <v>2</v>
      </c>
      <c r="R42" s="134">
        <f t="shared" si="5"/>
        <v>0</v>
      </c>
      <c r="S42" s="135">
        <f t="shared" si="26"/>
        <v>9</v>
      </c>
      <c r="T42" s="136">
        <f t="shared" si="7"/>
        <v>0.12512126226888837</v>
      </c>
      <c r="U42" s="134">
        <f t="shared" si="8"/>
        <v>2</v>
      </c>
      <c r="V42" s="137">
        <f t="shared" si="9"/>
        <v>296</v>
      </c>
      <c r="W42" s="133">
        <f t="shared" si="10"/>
        <v>0</v>
      </c>
      <c r="X42" s="134">
        <f t="shared" si="11"/>
        <v>2</v>
      </c>
      <c r="Y42" s="137">
        <f t="shared" si="12"/>
        <v>0</v>
      </c>
      <c r="Z42" s="133">
        <f t="shared" si="13"/>
        <v>0</v>
      </c>
      <c r="AA42" s="138">
        <f t="shared" si="14"/>
        <v>2</v>
      </c>
      <c r="AB42" s="137">
        <f t="shared" si="15"/>
        <v>0</v>
      </c>
      <c r="AC42" s="104">
        <f t="shared" si="16"/>
        <v>11135</v>
      </c>
      <c r="AD42" s="323">
        <f t="shared" si="20"/>
        <v>0</v>
      </c>
      <c r="AE42" s="325">
        <f t="shared" si="21"/>
        <v>9745</v>
      </c>
      <c r="AF42" s="324">
        <f t="shared" si="22"/>
        <v>0</v>
      </c>
      <c r="AG42" s="104">
        <f t="shared" si="27"/>
        <v>-359.19354838709677</v>
      </c>
    </row>
    <row r="43" spans="1:33" x14ac:dyDescent="0.25">
      <c r="A43" s="120">
        <f t="shared" si="19"/>
        <v>41</v>
      </c>
      <c r="B43" s="121">
        <v>3</v>
      </c>
      <c r="C43" s="122" t="s">
        <v>309</v>
      </c>
      <c r="D43" s="123" t="s">
        <v>310</v>
      </c>
      <c r="E43" s="124">
        <v>2000</v>
      </c>
      <c r="F43" s="146" t="s">
        <v>198</v>
      </c>
      <c r="G43" s="125">
        <v>151</v>
      </c>
      <c r="H43" s="126">
        <f t="shared" si="25"/>
        <v>7550</v>
      </c>
      <c r="I43" s="127">
        <f t="shared" si="29"/>
        <v>2031</v>
      </c>
      <c r="J43" s="159"/>
      <c r="K43" s="181" t="str">
        <f t="shared" si="28"/>
        <v>4+Low-end</v>
      </c>
      <c r="L43" s="182" t="s">
        <v>207</v>
      </c>
      <c r="M43" s="146" t="s">
        <v>214</v>
      </c>
      <c r="N43" s="180">
        <f>N41*Reductie</f>
        <v>12530</v>
      </c>
      <c r="O43" s="185"/>
      <c r="P43" s="153"/>
      <c r="Q43" s="133">
        <f t="shared" si="4"/>
        <v>2</v>
      </c>
      <c r="R43" s="134">
        <f t="shared" si="5"/>
        <v>0</v>
      </c>
      <c r="S43" s="135">
        <f t="shared" si="26"/>
        <v>12</v>
      </c>
      <c r="T43" s="136">
        <f t="shared" si="7"/>
        <v>0.12925131248573385</v>
      </c>
      <c r="U43" s="134">
        <f t="shared" si="8"/>
        <v>2</v>
      </c>
      <c r="V43" s="137">
        <f t="shared" si="9"/>
        <v>302</v>
      </c>
      <c r="W43" s="133">
        <f t="shared" si="10"/>
        <v>0</v>
      </c>
      <c r="X43" s="134">
        <f t="shared" si="11"/>
        <v>2</v>
      </c>
      <c r="Y43" s="137">
        <f t="shared" si="12"/>
        <v>0</v>
      </c>
      <c r="Z43" s="133">
        <f t="shared" si="13"/>
        <v>0</v>
      </c>
      <c r="AA43" s="138">
        <f t="shared" si="14"/>
        <v>0</v>
      </c>
      <c r="AB43" s="137">
        <f t="shared" si="15"/>
        <v>2</v>
      </c>
      <c r="AC43" s="104">
        <f t="shared" si="16"/>
        <v>8940</v>
      </c>
      <c r="AD43" s="323">
        <f t="shared" si="20"/>
        <v>0</v>
      </c>
      <c r="AE43" s="325">
        <f t="shared" si="21"/>
        <v>7550</v>
      </c>
      <c r="AF43" s="324">
        <f t="shared" si="22"/>
        <v>0</v>
      </c>
      <c r="AG43" s="104">
        <f t="shared" si="27"/>
        <v>-288.38709677419354</v>
      </c>
    </row>
    <row r="44" spans="1:33" x14ac:dyDescent="0.25">
      <c r="A44" s="120">
        <f t="shared" si="19"/>
        <v>42</v>
      </c>
      <c r="B44" s="121">
        <v>3</v>
      </c>
      <c r="C44" s="122" t="s">
        <v>311</v>
      </c>
      <c r="D44" s="123" t="s">
        <v>310</v>
      </c>
      <c r="E44" s="124">
        <v>1994</v>
      </c>
      <c r="F44" s="146" t="s">
        <v>198</v>
      </c>
      <c r="G44" s="125">
        <v>32</v>
      </c>
      <c r="H44" s="126">
        <f t="shared" si="25"/>
        <v>7550</v>
      </c>
      <c r="I44" s="127">
        <f t="shared" si="29"/>
        <v>2025</v>
      </c>
      <c r="J44" s="159"/>
      <c r="K44" s="181" t="str">
        <f t="shared" si="28"/>
        <v>4-Empacher</v>
      </c>
      <c r="L44" s="182" t="s">
        <v>304</v>
      </c>
      <c r="M44" s="179" t="s">
        <v>288</v>
      </c>
      <c r="N44" s="180">
        <f>16715*1.19</f>
        <v>19890.849999999999</v>
      </c>
      <c r="O44" s="185"/>
      <c r="P44" s="153"/>
      <c r="Q44" s="133">
        <f t="shared" si="4"/>
        <v>2</v>
      </c>
      <c r="R44" s="134">
        <f t="shared" si="5"/>
        <v>0</v>
      </c>
      <c r="S44" s="135">
        <f t="shared" si="26"/>
        <v>18</v>
      </c>
      <c r="T44" s="136">
        <f t="shared" si="7"/>
        <v>0.19387696872860077</v>
      </c>
      <c r="U44" s="134">
        <f t="shared" si="8"/>
        <v>2</v>
      </c>
      <c r="V44" s="137">
        <f t="shared" si="9"/>
        <v>64</v>
      </c>
      <c r="W44" s="133">
        <f t="shared" si="10"/>
        <v>0</v>
      </c>
      <c r="X44" s="134">
        <f t="shared" si="11"/>
        <v>2</v>
      </c>
      <c r="Y44" s="137">
        <f t="shared" si="12"/>
        <v>0</v>
      </c>
      <c r="Z44" s="133">
        <f t="shared" si="13"/>
        <v>0</v>
      </c>
      <c r="AA44" s="138">
        <f t="shared" si="14"/>
        <v>0</v>
      </c>
      <c r="AB44" s="137">
        <f t="shared" si="15"/>
        <v>2</v>
      </c>
      <c r="AC44" s="104">
        <f t="shared" si="16"/>
        <v>8940</v>
      </c>
      <c r="AD44" s="323">
        <f t="shared" si="20"/>
        <v>0</v>
      </c>
      <c r="AE44" s="325">
        <f t="shared" si="21"/>
        <v>7550</v>
      </c>
      <c r="AF44" s="324">
        <f t="shared" si="22"/>
        <v>0</v>
      </c>
      <c r="AG44" s="104">
        <f t="shared" si="27"/>
        <v>-288.38709677419354</v>
      </c>
    </row>
    <row r="45" spans="1:33" x14ac:dyDescent="0.25">
      <c r="A45" s="120">
        <f t="shared" si="19"/>
        <v>43</v>
      </c>
      <c r="B45" s="121" t="s">
        <v>205</v>
      </c>
      <c r="C45" s="122" t="s">
        <v>312</v>
      </c>
      <c r="D45" s="123" t="s">
        <v>219</v>
      </c>
      <c r="E45" s="124">
        <v>1987</v>
      </c>
      <c r="F45" s="122" t="s">
        <v>208</v>
      </c>
      <c r="G45" s="125">
        <v>103</v>
      </c>
      <c r="H45" s="126">
        <f t="shared" si="25"/>
        <v>12700</v>
      </c>
      <c r="I45" s="127">
        <f t="shared" si="29"/>
        <v>2018</v>
      </c>
      <c r="J45" s="159"/>
      <c r="K45" s="181" t="str">
        <f t="shared" si="28"/>
        <v>4-Filippi</v>
      </c>
      <c r="L45" s="182" t="s">
        <v>304</v>
      </c>
      <c r="M45" s="182" t="s">
        <v>292</v>
      </c>
      <c r="N45" s="183">
        <v>17600</v>
      </c>
      <c r="O45" s="185"/>
      <c r="P45" s="153"/>
      <c r="Q45" s="133">
        <f t="shared" si="4"/>
        <v>2</v>
      </c>
      <c r="R45" s="134">
        <f t="shared" si="5"/>
        <v>0</v>
      </c>
      <c r="S45" s="135">
        <f t="shared" si="26"/>
        <v>25</v>
      </c>
      <c r="T45" s="136">
        <f t="shared" si="7"/>
        <v>0.45295023967130793</v>
      </c>
      <c r="U45" s="134">
        <f t="shared" si="8"/>
        <v>2</v>
      </c>
      <c r="V45" s="137">
        <f t="shared" si="9"/>
        <v>206</v>
      </c>
      <c r="W45" s="133">
        <f t="shared" si="10"/>
        <v>2</v>
      </c>
      <c r="X45" s="134">
        <f t="shared" si="11"/>
        <v>0</v>
      </c>
      <c r="Y45" s="137">
        <f t="shared" si="12"/>
        <v>0</v>
      </c>
      <c r="Z45" s="133">
        <f t="shared" si="13"/>
        <v>0</v>
      </c>
      <c r="AA45" s="138">
        <f t="shared" si="14"/>
        <v>2</v>
      </c>
      <c r="AB45" s="137">
        <f t="shared" si="15"/>
        <v>0</v>
      </c>
      <c r="AC45" s="104">
        <f t="shared" si="16"/>
        <v>14090</v>
      </c>
      <c r="AD45" s="323">
        <f t="shared" si="20"/>
        <v>12700</v>
      </c>
      <c r="AE45" s="325">
        <f t="shared" si="21"/>
        <v>0</v>
      </c>
      <c r="AF45" s="324">
        <f t="shared" si="22"/>
        <v>0</v>
      </c>
      <c r="AG45" s="104">
        <f t="shared" si="27"/>
        <v>-454.51612903225805</v>
      </c>
    </row>
    <row r="46" spans="1:33" x14ac:dyDescent="0.25">
      <c r="A46" s="120">
        <f t="shared" si="19"/>
        <v>44</v>
      </c>
      <c r="B46" s="121">
        <v>3</v>
      </c>
      <c r="C46" s="122" t="s">
        <v>313</v>
      </c>
      <c r="D46" s="123" t="s">
        <v>300</v>
      </c>
      <c r="E46" s="124">
        <v>1992</v>
      </c>
      <c r="F46" s="146" t="s">
        <v>198</v>
      </c>
      <c r="G46" s="125">
        <v>12</v>
      </c>
      <c r="H46" s="126">
        <f t="shared" si="25"/>
        <v>4990</v>
      </c>
      <c r="I46" s="127">
        <f t="shared" si="29"/>
        <v>2023</v>
      </c>
      <c r="J46" s="159"/>
      <c r="K46" s="181" t="str">
        <f t="shared" si="28"/>
        <v>4-High-end</v>
      </c>
      <c r="L46" s="182" t="s">
        <v>304</v>
      </c>
      <c r="M46" s="146" t="s">
        <v>208</v>
      </c>
      <c r="N46" s="183">
        <f>N45</f>
        <v>17600</v>
      </c>
      <c r="O46" s="185"/>
      <c r="P46" s="153"/>
      <c r="Q46" s="133">
        <f t="shared" si="4"/>
        <v>1</v>
      </c>
      <c r="R46" s="134">
        <f t="shared" si="5"/>
        <v>0</v>
      </c>
      <c r="S46" s="135">
        <f t="shared" si="26"/>
        <v>20</v>
      </c>
      <c r="T46" s="136">
        <f t="shared" si="7"/>
        <v>0.14237616982424103</v>
      </c>
      <c r="U46" s="134">
        <f t="shared" si="8"/>
        <v>1</v>
      </c>
      <c r="V46" s="137">
        <f t="shared" si="9"/>
        <v>12</v>
      </c>
      <c r="W46" s="133">
        <f t="shared" si="10"/>
        <v>0</v>
      </c>
      <c r="X46" s="134">
        <f t="shared" si="11"/>
        <v>1</v>
      </c>
      <c r="Y46" s="137">
        <f t="shared" si="12"/>
        <v>0</v>
      </c>
      <c r="Z46" s="133">
        <f t="shared" si="13"/>
        <v>0</v>
      </c>
      <c r="AA46" s="138">
        <f t="shared" si="14"/>
        <v>0</v>
      </c>
      <c r="AB46" s="137">
        <f t="shared" si="15"/>
        <v>1</v>
      </c>
      <c r="AC46" s="104">
        <f t="shared" si="16"/>
        <v>5685</v>
      </c>
      <c r="AD46" s="323">
        <f t="shared" si="20"/>
        <v>0</v>
      </c>
      <c r="AE46" s="325">
        <f t="shared" si="21"/>
        <v>4990</v>
      </c>
      <c r="AF46" s="324">
        <f t="shared" si="22"/>
        <v>0</v>
      </c>
      <c r="AG46" s="104">
        <f t="shared" si="27"/>
        <v>-183.38709677419354</v>
      </c>
    </row>
    <row r="47" spans="1:33" x14ac:dyDescent="0.25">
      <c r="A47" s="120">
        <f t="shared" si="19"/>
        <v>45</v>
      </c>
      <c r="B47" s="121" t="s">
        <v>230</v>
      </c>
      <c r="C47" s="122" t="s">
        <v>315</v>
      </c>
      <c r="D47" s="123" t="s">
        <v>213</v>
      </c>
      <c r="E47" s="124">
        <v>2004</v>
      </c>
      <c r="F47" s="122" t="s">
        <v>214</v>
      </c>
      <c r="G47" s="125">
        <v>91</v>
      </c>
      <c r="H47" s="126">
        <f t="shared" si="25"/>
        <v>5775</v>
      </c>
      <c r="I47" s="127">
        <f t="shared" si="29"/>
        <v>2035</v>
      </c>
      <c r="J47" s="159"/>
      <c r="K47" s="181" t="str">
        <f t="shared" si="28"/>
        <v>4-Low-end</v>
      </c>
      <c r="L47" s="182" t="s">
        <v>304</v>
      </c>
      <c r="M47" s="146" t="s">
        <v>214</v>
      </c>
      <c r="N47" s="180">
        <f>N45*Reductie</f>
        <v>12320</v>
      </c>
      <c r="O47" s="185"/>
      <c r="P47" s="153"/>
      <c r="Q47" s="133">
        <f t="shared" si="4"/>
        <v>1</v>
      </c>
      <c r="R47" s="134">
        <f t="shared" si="5"/>
        <v>0</v>
      </c>
      <c r="S47" s="135">
        <f t="shared" si="26"/>
        <v>8</v>
      </c>
      <c r="T47" s="136">
        <f t="shared" si="7"/>
        <v>6.5909609678155678E-2</v>
      </c>
      <c r="U47" s="134">
        <f t="shared" si="8"/>
        <v>1</v>
      </c>
      <c r="V47" s="137">
        <f t="shared" si="9"/>
        <v>91</v>
      </c>
      <c r="W47" s="133">
        <f t="shared" si="10"/>
        <v>1</v>
      </c>
      <c r="X47" s="134">
        <f t="shared" si="11"/>
        <v>0</v>
      </c>
      <c r="Y47" s="137">
        <f t="shared" si="12"/>
        <v>0</v>
      </c>
      <c r="Z47" s="133">
        <f t="shared" si="13"/>
        <v>0</v>
      </c>
      <c r="AA47" s="138">
        <f t="shared" si="14"/>
        <v>0</v>
      </c>
      <c r="AB47" s="137">
        <f t="shared" si="15"/>
        <v>1</v>
      </c>
      <c r="AC47" s="104">
        <f t="shared" si="16"/>
        <v>6470</v>
      </c>
      <c r="AD47" s="323">
        <f t="shared" si="20"/>
        <v>5775</v>
      </c>
      <c r="AE47" s="325">
        <f t="shared" si="21"/>
        <v>0</v>
      </c>
      <c r="AF47" s="324">
        <f t="shared" si="22"/>
        <v>0</v>
      </c>
      <c r="AG47" s="104">
        <f t="shared" si="27"/>
        <v>-208.70967741935485</v>
      </c>
    </row>
    <row r="48" spans="1:33" x14ac:dyDescent="0.25">
      <c r="A48" s="120">
        <f t="shared" si="19"/>
        <v>46</v>
      </c>
      <c r="B48" s="121" t="s">
        <v>230</v>
      </c>
      <c r="C48" s="122" t="s">
        <v>316</v>
      </c>
      <c r="D48" s="123" t="s">
        <v>219</v>
      </c>
      <c r="E48" s="124">
        <v>1997</v>
      </c>
      <c r="F48" s="122" t="s">
        <v>214</v>
      </c>
      <c r="G48" s="125">
        <v>22</v>
      </c>
      <c r="H48" s="126">
        <f t="shared" si="25"/>
        <v>8890</v>
      </c>
      <c r="I48" s="127">
        <f t="shared" si="29"/>
        <v>2028</v>
      </c>
      <c r="J48" s="159"/>
      <c r="K48" s="181" t="str">
        <f t="shared" si="28"/>
        <v>4xEmpacher</v>
      </c>
      <c r="L48" s="182" t="s">
        <v>410</v>
      </c>
      <c r="M48" s="179" t="s">
        <v>288</v>
      </c>
      <c r="N48" s="180">
        <f>17425*1.19</f>
        <v>20735.75</v>
      </c>
      <c r="O48" s="185"/>
      <c r="P48" s="153"/>
      <c r="Q48" s="133">
        <f t="shared" si="4"/>
        <v>2</v>
      </c>
      <c r="R48" s="134">
        <f t="shared" si="5"/>
        <v>0</v>
      </c>
      <c r="S48" s="135">
        <f t="shared" si="26"/>
        <v>15</v>
      </c>
      <c r="T48" s="136">
        <f t="shared" si="7"/>
        <v>0.19023910066194932</v>
      </c>
      <c r="U48" s="134">
        <f t="shared" si="8"/>
        <v>2</v>
      </c>
      <c r="V48" s="137">
        <f t="shared" si="9"/>
        <v>44</v>
      </c>
      <c r="W48" s="133">
        <f t="shared" si="10"/>
        <v>2</v>
      </c>
      <c r="X48" s="134">
        <f t="shared" si="11"/>
        <v>0</v>
      </c>
      <c r="Y48" s="137">
        <f t="shared" si="12"/>
        <v>0</v>
      </c>
      <c r="Z48" s="133">
        <f t="shared" si="13"/>
        <v>0</v>
      </c>
      <c r="AA48" s="138">
        <f t="shared" si="14"/>
        <v>0</v>
      </c>
      <c r="AB48" s="137">
        <f t="shared" si="15"/>
        <v>2</v>
      </c>
      <c r="AC48" s="104">
        <f t="shared" si="16"/>
        <v>10280</v>
      </c>
      <c r="AD48" s="323">
        <f t="shared" si="20"/>
        <v>8890</v>
      </c>
      <c r="AE48" s="325">
        <f t="shared" si="21"/>
        <v>0</v>
      </c>
      <c r="AF48" s="324">
        <f t="shared" si="22"/>
        <v>0</v>
      </c>
      <c r="AG48" s="104">
        <f t="shared" si="27"/>
        <v>-331.61290322580646</v>
      </c>
    </row>
    <row r="49" spans="1:33" x14ac:dyDescent="0.25">
      <c r="A49" s="120">
        <f t="shared" si="19"/>
        <v>47</v>
      </c>
      <c r="B49" s="121" t="s">
        <v>230</v>
      </c>
      <c r="C49" s="122" t="s">
        <v>317</v>
      </c>
      <c r="D49" s="123" t="s">
        <v>213</v>
      </c>
      <c r="E49" s="124">
        <v>1996</v>
      </c>
      <c r="F49" s="122" t="s">
        <v>214</v>
      </c>
      <c r="G49" s="125">
        <v>65</v>
      </c>
      <c r="H49" s="126">
        <f t="shared" si="25"/>
        <v>5775</v>
      </c>
      <c r="I49" s="127">
        <f>IF($E49&lt;&gt;0,$E49+levensduur,0)</f>
        <v>2027</v>
      </c>
      <c r="J49" s="159"/>
      <c r="K49" s="181" t="str">
        <f t="shared" si="28"/>
        <v>4xFilippi</v>
      </c>
      <c r="L49" s="182" t="s">
        <v>410</v>
      </c>
      <c r="M49" s="182" t="s">
        <v>292</v>
      </c>
      <c r="N49" s="183">
        <v>19450</v>
      </c>
      <c r="O49" s="185"/>
      <c r="P49" s="153"/>
      <c r="Q49" s="133">
        <f t="shared" si="4"/>
        <v>1</v>
      </c>
      <c r="R49" s="134">
        <f t="shared" si="5"/>
        <v>0</v>
      </c>
      <c r="S49" s="135">
        <f t="shared" si="26"/>
        <v>16</v>
      </c>
      <c r="T49" s="136">
        <f t="shared" si="7"/>
        <v>0.13181921935631136</v>
      </c>
      <c r="U49" s="134">
        <f t="shared" si="8"/>
        <v>1</v>
      </c>
      <c r="V49" s="137">
        <f t="shared" si="9"/>
        <v>65</v>
      </c>
      <c r="W49" s="133">
        <f t="shared" si="10"/>
        <v>1</v>
      </c>
      <c r="X49" s="134">
        <f t="shared" si="11"/>
        <v>0</v>
      </c>
      <c r="Y49" s="137">
        <f t="shared" si="12"/>
        <v>0</v>
      </c>
      <c r="Z49" s="133">
        <f t="shared" si="13"/>
        <v>0</v>
      </c>
      <c r="AA49" s="138">
        <f t="shared" si="14"/>
        <v>0</v>
      </c>
      <c r="AB49" s="137">
        <f t="shared" si="15"/>
        <v>1</v>
      </c>
      <c r="AC49" s="104">
        <f t="shared" si="16"/>
        <v>6470</v>
      </c>
      <c r="AD49" s="323">
        <f t="shared" si="20"/>
        <v>5775</v>
      </c>
      <c r="AE49" s="325">
        <f t="shared" si="21"/>
        <v>0</v>
      </c>
      <c r="AF49" s="324">
        <f t="shared" si="22"/>
        <v>0</v>
      </c>
      <c r="AG49" s="104">
        <f t="shared" si="27"/>
        <v>-208.70967741935485</v>
      </c>
    </row>
    <row r="50" spans="1:33" x14ac:dyDescent="0.25">
      <c r="A50" s="120">
        <f t="shared" si="19"/>
        <v>48</v>
      </c>
      <c r="B50" s="121" t="s">
        <v>205</v>
      </c>
      <c r="C50" s="122" t="s">
        <v>318</v>
      </c>
      <c r="D50" s="123" t="s">
        <v>271</v>
      </c>
      <c r="E50" s="124">
        <v>1997</v>
      </c>
      <c r="F50" s="122" t="s">
        <v>208</v>
      </c>
      <c r="G50" s="125">
        <v>73</v>
      </c>
      <c r="H50" s="126">
        <f t="shared" si="25"/>
        <v>30500</v>
      </c>
      <c r="I50" s="127">
        <f>IF($E50&lt;&gt;0,$E50+levensduur,0)</f>
        <v>2028</v>
      </c>
      <c r="J50" s="159"/>
      <c r="K50" s="181" t="str">
        <f t="shared" si="28"/>
        <v>4xHigh-end</v>
      </c>
      <c r="L50" s="182" t="s">
        <v>410</v>
      </c>
      <c r="M50" s="146" t="s">
        <v>208</v>
      </c>
      <c r="N50" s="183">
        <f>N49</f>
        <v>19450</v>
      </c>
      <c r="O50" s="185"/>
      <c r="P50" s="153"/>
      <c r="Q50" s="133">
        <f t="shared" si="4"/>
        <v>0</v>
      </c>
      <c r="R50" s="134">
        <f t="shared" si="5"/>
        <v>8</v>
      </c>
      <c r="S50" s="135">
        <f t="shared" si="26"/>
        <v>15</v>
      </c>
      <c r="T50" s="136">
        <f t="shared" si="7"/>
        <v>0.6526763296051129</v>
      </c>
      <c r="U50" s="134">
        <f t="shared" si="8"/>
        <v>8</v>
      </c>
      <c r="V50" s="137">
        <f t="shared" si="9"/>
        <v>584</v>
      </c>
      <c r="W50" s="133">
        <f t="shared" si="10"/>
        <v>8</v>
      </c>
      <c r="X50" s="134">
        <f t="shared" si="11"/>
        <v>0</v>
      </c>
      <c r="Y50" s="137">
        <f t="shared" si="12"/>
        <v>0</v>
      </c>
      <c r="Z50" s="133">
        <f t="shared" si="13"/>
        <v>0</v>
      </c>
      <c r="AA50" s="138">
        <f t="shared" si="14"/>
        <v>8</v>
      </c>
      <c r="AB50" s="137">
        <f t="shared" si="15"/>
        <v>0</v>
      </c>
      <c r="AC50" s="104">
        <f t="shared" si="16"/>
        <v>34220</v>
      </c>
      <c r="AD50" s="323">
        <f t="shared" si="20"/>
        <v>30500</v>
      </c>
      <c r="AE50" s="325">
        <f t="shared" si="21"/>
        <v>0</v>
      </c>
      <c r="AF50" s="324">
        <f t="shared" si="22"/>
        <v>0</v>
      </c>
      <c r="AG50" s="104">
        <f t="shared" si="27"/>
        <v>-1103.8709677419354</v>
      </c>
    </row>
    <row r="51" spans="1:33" x14ac:dyDescent="0.25">
      <c r="A51" s="120">
        <f t="shared" si="19"/>
        <v>49</v>
      </c>
      <c r="B51" s="121" t="s">
        <v>230</v>
      </c>
      <c r="C51" s="122" t="s">
        <v>320</v>
      </c>
      <c r="D51" s="123" t="s">
        <v>213</v>
      </c>
      <c r="E51" s="124">
        <v>2001</v>
      </c>
      <c r="F51" s="122" t="s">
        <v>214</v>
      </c>
      <c r="G51" s="125">
        <v>14</v>
      </c>
      <c r="H51" s="126">
        <f t="shared" si="25"/>
        <v>5775</v>
      </c>
      <c r="I51" s="127">
        <f>IF($E51&lt;&gt;0,$E51+levensduur,0)</f>
        <v>2032</v>
      </c>
      <c r="J51" s="159"/>
      <c r="K51" s="181" t="str">
        <f t="shared" si="28"/>
        <v>4xLow-end</v>
      </c>
      <c r="L51" s="182" t="s">
        <v>410</v>
      </c>
      <c r="M51" s="146" t="s">
        <v>214</v>
      </c>
      <c r="N51" s="180">
        <f>N49*Reductie</f>
        <v>13615</v>
      </c>
      <c r="O51" s="185"/>
      <c r="P51" s="153"/>
      <c r="Q51" s="133">
        <f t="shared" si="4"/>
        <v>1</v>
      </c>
      <c r="R51" s="134">
        <f t="shared" si="5"/>
        <v>0</v>
      </c>
      <c r="S51" s="135">
        <f t="shared" si="26"/>
        <v>11</v>
      </c>
      <c r="T51" s="136">
        <f t="shared" si="7"/>
        <v>9.0625713307464051E-2</v>
      </c>
      <c r="U51" s="134">
        <f t="shared" si="8"/>
        <v>1</v>
      </c>
      <c r="V51" s="137">
        <f t="shared" si="9"/>
        <v>14</v>
      </c>
      <c r="W51" s="133">
        <f t="shared" si="10"/>
        <v>1</v>
      </c>
      <c r="X51" s="134">
        <f t="shared" si="11"/>
        <v>0</v>
      </c>
      <c r="Y51" s="137">
        <f t="shared" si="12"/>
        <v>0</v>
      </c>
      <c r="Z51" s="133">
        <f t="shared" si="13"/>
        <v>0</v>
      </c>
      <c r="AA51" s="138">
        <f t="shared" si="14"/>
        <v>0</v>
      </c>
      <c r="AB51" s="137">
        <f t="shared" si="15"/>
        <v>1</v>
      </c>
      <c r="AC51" s="104">
        <f t="shared" si="16"/>
        <v>6470</v>
      </c>
      <c r="AD51" s="323">
        <f t="shared" si="20"/>
        <v>5775</v>
      </c>
      <c r="AE51" s="325">
        <f t="shared" si="21"/>
        <v>0</v>
      </c>
      <c r="AF51" s="324">
        <f t="shared" si="22"/>
        <v>0</v>
      </c>
      <c r="AG51" s="104">
        <f t="shared" si="27"/>
        <v>-208.70967741935485</v>
      </c>
    </row>
    <row r="52" spans="1:33" x14ac:dyDescent="0.25">
      <c r="A52" s="120">
        <f t="shared" si="19"/>
        <v>50</v>
      </c>
      <c r="B52" s="121" t="s">
        <v>230</v>
      </c>
      <c r="C52" s="122" t="s">
        <v>321</v>
      </c>
      <c r="D52" s="123" t="s">
        <v>219</v>
      </c>
      <c r="E52" s="124">
        <v>1992</v>
      </c>
      <c r="F52" s="122" t="s">
        <v>214</v>
      </c>
      <c r="G52" s="125">
        <v>27</v>
      </c>
      <c r="H52" s="126">
        <f t="shared" si="25"/>
        <v>8890</v>
      </c>
      <c r="I52" s="127">
        <f t="shared" ref="I52" si="30">IF($E52&lt;&gt;0,$E52+levensduur,0)</f>
        <v>2023</v>
      </c>
      <c r="J52" s="159"/>
      <c r="K52" s="181" t="str">
        <f t="shared" si="28"/>
        <v>4x+Empacher</v>
      </c>
      <c r="L52" s="182" t="s">
        <v>242</v>
      </c>
      <c r="M52" s="179" t="s">
        <v>288</v>
      </c>
      <c r="N52" s="180">
        <f>17825*1.19</f>
        <v>21211.75</v>
      </c>
      <c r="O52" s="185"/>
      <c r="P52" s="153"/>
      <c r="Q52" s="133">
        <f t="shared" si="4"/>
        <v>2</v>
      </c>
      <c r="R52" s="134">
        <f t="shared" si="5"/>
        <v>0</v>
      </c>
      <c r="S52" s="135">
        <f t="shared" si="26"/>
        <v>20</v>
      </c>
      <c r="T52" s="136">
        <f t="shared" si="7"/>
        <v>0.25365213421593247</v>
      </c>
      <c r="U52" s="134">
        <f t="shared" si="8"/>
        <v>2</v>
      </c>
      <c r="V52" s="137">
        <f t="shared" si="9"/>
        <v>54</v>
      </c>
      <c r="W52" s="133">
        <f t="shared" si="10"/>
        <v>2</v>
      </c>
      <c r="X52" s="134">
        <f t="shared" si="11"/>
        <v>0</v>
      </c>
      <c r="Y52" s="137">
        <f t="shared" si="12"/>
        <v>0</v>
      </c>
      <c r="Z52" s="133">
        <f t="shared" si="13"/>
        <v>0</v>
      </c>
      <c r="AA52" s="138">
        <f t="shared" si="14"/>
        <v>0</v>
      </c>
      <c r="AB52" s="137">
        <f t="shared" si="15"/>
        <v>2</v>
      </c>
      <c r="AC52" s="104">
        <f t="shared" si="16"/>
        <v>10280</v>
      </c>
      <c r="AD52" s="323">
        <f t="shared" si="20"/>
        <v>8890</v>
      </c>
      <c r="AE52" s="325">
        <f t="shared" si="21"/>
        <v>0</v>
      </c>
      <c r="AF52" s="324">
        <f t="shared" si="22"/>
        <v>0</v>
      </c>
      <c r="AG52" s="104">
        <f t="shared" si="27"/>
        <v>-331.61290322580646</v>
      </c>
    </row>
    <row r="53" spans="1:33" x14ac:dyDescent="0.25">
      <c r="A53" s="120">
        <f t="shared" si="19"/>
        <v>51</v>
      </c>
      <c r="B53" s="121" t="s">
        <v>233</v>
      </c>
      <c r="C53" s="122" t="s">
        <v>322</v>
      </c>
      <c r="D53" s="123" t="s">
        <v>213</v>
      </c>
      <c r="E53" s="124">
        <v>2001</v>
      </c>
      <c r="F53" s="122" t="s">
        <v>208</v>
      </c>
      <c r="G53" s="125">
        <v>51</v>
      </c>
      <c r="H53" s="126">
        <f t="shared" si="25"/>
        <v>8250</v>
      </c>
      <c r="I53" s="127">
        <f t="shared" ref="I53:I84" si="31">IF($E53&lt;&gt;0,$E53+levensduur,0)</f>
        <v>2032</v>
      </c>
      <c r="J53" s="159"/>
      <c r="K53" s="181" t="str">
        <f t="shared" si="28"/>
        <v>4x+Filippi</v>
      </c>
      <c r="L53" s="182" t="s">
        <v>242</v>
      </c>
      <c r="M53" s="182" t="s">
        <v>292</v>
      </c>
      <c r="N53" s="183">
        <v>19700</v>
      </c>
      <c r="O53" s="185"/>
      <c r="P53" s="153"/>
      <c r="Q53" s="133">
        <f t="shared" si="4"/>
        <v>1</v>
      </c>
      <c r="R53" s="134">
        <f t="shared" si="5"/>
        <v>0</v>
      </c>
      <c r="S53" s="135">
        <f t="shared" si="26"/>
        <v>11</v>
      </c>
      <c r="T53" s="136">
        <f t="shared" si="7"/>
        <v>0.12946530472494866</v>
      </c>
      <c r="U53" s="134">
        <f t="shared" si="8"/>
        <v>1</v>
      </c>
      <c r="V53" s="137">
        <f t="shared" si="9"/>
        <v>51</v>
      </c>
      <c r="W53" s="133">
        <f t="shared" si="10"/>
        <v>1</v>
      </c>
      <c r="X53" s="134">
        <f t="shared" si="11"/>
        <v>0</v>
      </c>
      <c r="Y53" s="137">
        <f t="shared" si="12"/>
        <v>0</v>
      </c>
      <c r="Z53" s="133">
        <f t="shared" si="13"/>
        <v>1</v>
      </c>
      <c r="AA53" s="138">
        <f t="shared" si="14"/>
        <v>0</v>
      </c>
      <c r="AB53" s="137">
        <f t="shared" si="15"/>
        <v>0</v>
      </c>
      <c r="AC53" s="104">
        <f t="shared" si="16"/>
        <v>8945</v>
      </c>
      <c r="AD53" s="323">
        <f t="shared" si="20"/>
        <v>8250</v>
      </c>
      <c r="AE53" s="325">
        <f t="shared" si="21"/>
        <v>0</v>
      </c>
      <c r="AF53" s="324">
        <f t="shared" si="22"/>
        <v>0</v>
      </c>
      <c r="AG53" s="104">
        <f t="shared" si="27"/>
        <v>-288.54838709677421</v>
      </c>
    </row>
    <row r="54" spans="1:33" x14ac:dyDescent="0.25">
      <c r="A54" s="120">
        <f t="shared" si="19"/>
        <v>52</v>
      </c>
      <c r="B54" s="121" t="s">
        <v>205</v>
      </c>
      <c r="C54" s="122" t="s">
        <v>323</v>
      </c>
      <c r="D54" s="123" t="s">
        <v>219</v>
      </c>
      <c r="E54" s="124">
        <v>2006</v>
      </c>
      <c r="F54" s="122" t="s">
        <v>208</v>
      </c>
      <c r="G54" s="125">
        <v>164</v>
      </c>
      <c r="H54" s="126">
        <f t="shared" si="25"/>
        <v>12700</v>
      </c>
      <c r="I54" s="127">
        <f t="shared" si="31"/>
        <v>2037</v>
      </c>
      <c r="J54" s="159"/>
      <c r="K54" s="181" t="str">
        <f t="shared" si="28"/>
        <v>4x+High-end</v>
      </c>
      <c r="L54" s="182" t="s">
        <v>242</v>
      </c>
      <c r="M54" s="146" t="s">
        <v>208</v>
      </c>
      <c r="N54" s="183">
        <f>N53</f>
        <v>19700</v>
      </c>
      <c r="O54" s="185"/>
      <c r="P54" s="153"/>
      <c r="Q54" s="133">
        <f t="shared" si="4"/>
        <v>2</v>
      </c>
      <c r="R54" s="134">
        <f t="shared" si="5"/>
        <v>0</v>
      </c>
      <c r="S54" s="135">
        <f t="shared" si="26"/>
        <v>6</v>
      </c>
      <c r="T54" s="136">
        <f t="shared" si="7"/>
        <v>0.1087080575211139</v>
      </c>
      <c r="U54" s="134">
        <f t="shared" si="8"/>
        <v>2</v>
      </c>
      <c r="V54" s="137">
        <f t="shared" si="9"/>
        <v>328</v>
      </c>
      <c r="W54" s="133">
        <f t="shared" si="10"/>
        <v>2</v>
      </c>
      <c r="X54" s="134">
        <f t="shared" si="11"/>
        <v>0</v>
      </c>
      <c r="Y54" s="137">
        <f t="shared" si="12"/>
        <v>0</v>
      </c>
      <c r="Z54" s="133">
        <f t="shared" si="13"/>
        <v>0</v>
      </c>
      <c r="AA54" s="138">
        <f t="shared" si="14"/>
        <v>2</v>
      </c>
      <c r="AB54" s="137">
        <f t="shared" si="15"/>
        <v>0</v>
      </c>
      <c r="AC54" s="104">
        <f t="shared" si="16"/>
        <v>14090</v>
      </c>
      <c r="AD54" s="323">
        <f t="shared" si="20"/>
        <v>12700</v>
      </c>
      <c r="AE54" s="325">
        <f t="shared" si="21"/>
        <v>0</v>
      </c>
      <c r="AF54" s="324">
        <f t="shared" si="22"/>
        <v>0</v>
      </c>
      <c r="AG54" s="104">
        <f t="shared" si="27"/>
        <v>-454.51612903225805</v>
      </c>
    </row>
    <row r="55" spans="1:33" x14ac:dyDescent="0.25">
      <c r="A55" s="120">
        <f t="shared" si="19"/>
        <v>53</v>
      </c>
      <c r="B55" s="121" t="s">
        <v>211</v>
      </c>
      <c r="C55" s="122" t="s">
        <v>324</v>
      </c>
      <c r="D55" s="123" t="s">
        <v>319</v>
      </c>
      <c r="E55" s="124">
        <v>1993</v>
      </c>
      <c r="F55" s="122" t="s">
        <v>208</v>
      </c>
      <c r="G55" s="125">
        <v>71</v>
      </c>
      <c r="H55" s="126">
        <f t="shared" si="25"/>
        <v>12050</v>
      </c>
      <c r="I55" s="127">
        <f t="shared" si="31"/>
        <v>2024</v>
      </c>
      <c r="J55" s="159"/>
      <c r="K55" s="181" t="str">
        <f t="shared" si="28"/>
        <v>4x+Low-end</v>
      </c>
      <c r="L55" s="182" t="s">
        <v>242</v>
      </c>
      <c r="M55" s="146" t="s">
        <v>214</v>
      </c>
      <c r="N55" s="180">
        <f>N53*Reductie</f>
        <v>13790</v>
      </c>
      <c r="O55" s="185"/>
      <c r="P55" s="153"/>
      <c r="Q55" s="133">
        <f t="shared" si="4"/>
        <v>0</v>
      </c>
      <c r="R55" s="134">
        <f t="shared" si="5"/>
        <v>2</v>
      </c>
      <c r="S55" s="135">
        <f t="shared" si="26"/>
        <v>19</v>
      </c>
      <c r="T55" s="136">
        <f t="shared" si="7"/>
        <v>0.32662348778817624</v>
      </c>
      <c r="U55" s="134">
        <f t="shared" si="8"/>
        <v>2</v>
      </c>
      <c r="V55" s="137">
        <f t="shared" si="9"/>
        <v>142</v>
      </c>
      <c r="W55" s="133">
        <f t="shared" si="10"/>
        <v>2</v>
      </c>
      <c r="X55" s="134">
        <f t="shared" si="11"/>
        <v>0</v>
      </c>
      <c r="Y55" s="137">
        <f t="shared" si="12"/>
        <v>0</v>
      </c>
      <c r="Z55" s="133">
        <f t="shared" si="13"/>
        <v>0</v>
      </c>
      <c r="AA55" s="138">
        <f t="shared" si="14"/>
        <v>2</v>
      </c>
      <c r="AB55" s="137">
        <f t="shared" si="15"/>
        <v>0</v>
      </c>
      <c r="AC55" s="104">
        <f t="shared" si="16"/>
        <v>12980</v>
      </c>
      <c r="AD55" s="323">
        <f t="shared" si="20"/>
        <v>12050</v>
      </c>
      <c r="AE55" s="325">
        <f t="shared" si="21"/>
        <v>0</v>
      </c>
      <c r="AF55" s="324">
        <f t="shared" si="22"/>
        <v>0</v>
      </c>
      <c r="AG55" s="104">
        <f t="shared" si="27"/>
        <v>-418.70967741935482</v>
      </c>
    </row>
    <row r="56" spans="1:33" x14ac:dyDescent="0.25">
      <c r="A56" s="120">
        <f t="shared" si="19"/>
        <v>54</v>
      </c>
      <c r="B56" s="121">
        <v>3</v>
      </c>
      <c r="C56" s="122" t="s">
        <v>325</v>
      </c>
      <c r="D56" s="123" t="s">
        <v>300</v>
      </c>
      <c r="E56" s="124">
        <v>2003</v>
      </c>
      <c r="F56" s="146" t="s">
        <v>198</v>
      </c>
      <c r="G56" s="125">
        <v>73</v>
      </c>
      <c r="H56" s="126">
        <f t="shared" si="25"/>
        <v>4990</v>
      </c>
      <c r="I56" s="127">
        <f t="shared" si="31"/>
        <v>2034</v>
      </c>
      <c r="J56" s="159"/>
      <c r="K56" s="181" t="str">
        <f t="shared" si="28"/>
        <v>2+Empacher</v>
      </c>
      <c r="L56" s="182" t="s">
        <v>314</v>
      </c>
      <c r="M56" s="179" t="s">
        <v>288</v>
      </c>
      <c r="N56" s="180">
        <f>13275*1.19</f>
        <v>15797.25</v>
      </c>
      <c r="O56" s="185"/>
      <c r="P56" s="153"/>
      <c r="Q56" s="133">
        <f t="shared" si="4"/>
        <v>1</v>
      </c>
      <c r="R56" s="134">
        <f t="shared" si="5"/>
        <v>0</v>
      </c>
      <c r="S56" s="135">
        <f t="shared" si="26"/>
        <v>9</v>
      </c>
      <c r="T56" s="136">
        <f t="shared" si="7"/>
        <v>6.4069276420908469E-2</v>
      </c>
      <c r="U56" s="134">
        <f t="shared" si="8"/>
        <v>1</v>
      </c>
      <c r="V56" s="137">
        <f t="shared" si="9"/>
        <v>73</v>
      </c>
      <c r="W56" s="133">
        <f t="shared" si="10"/>
        <v>0</v>
      </c>
      <c r="X56" s="134">
        <f t="shared" si="11"/>
        <v>1</v>
      </c>
      <c r="Y56" s="137">
        <f t="shared" si="12"/>
        <v>0</v>
      </c>
      <c r="Z56" s="133">
        <f t="shared" si="13"/>
        <v>0</v>
      </c>
      <c r="AA56" s="138">
        <f t="shared" si="14"/>
        <v>0</v>
      </c>
      <c r="AB56" s="137">
        <f t="shared" si="15"/>
        <v>1</v>
      </c>
      <c r="AC56" s="104">
        <f t="shared" si="16"/>
        <v>5685</v>
      </c>
      <c r="AD56" s="323">
        <f t="shared" si="20"/>
        <v>0</v>
      </c>
      <c r="AE56" s="325">
        <f t="shared" si="21"/>
        <v>4990</v>
      </c>
      <c r="AF56" s="324">
        <f t="shared" si="22"/>
        <v>0</v>
      </c>
      <c r="AG56" s="104">
        <f t="shared" si="27"/>
        <v>-183.38709677419354</v>
      </c>
    </row>
    <row r="57" spans="1:33" x14ac:dyDescent="0.25">
      <c r="A57" s="120">
        <f t="shared" si="19"/>
        <v>55</v>
      </c>
      <c r="B57" s="121">
        <v>3</v>
      </c>
      <c r="C57" s="122" t="s">
        <v>326</v>
      </c>
      <c r="D57" s="123" t="s">
        <v>327</v>
      </c>
      <c r="E57" s="124">
        <v>2003</v>
      </c>
      <c r="F57" s="146" t="s">
        <v>198</v>
      </c>
      <c r="G57" s="125">
        <v>91</v>
      </c>
      <c r="H57" s="126">
        <f t="shared" si="25"/>
        <v>9475</v>
      </c>
      <c r="I57" s="127">
        <f t="shared" si="31"/>
        <v>2034</v>
      </c>
      <c r="J57" s="159"/>
      <c r="K57" s="181" t="str">
        <f t="shared" si="28"/>
        <v>2+Filippi</v>
      </c>
      <c r="L57" s="182" t="s">
        <v>314</v>
      </c>
      <c r="M57" s="182" t="s">
        <v>292</v>
      </c>
      <c r="N57" s="183">
        <v>12150</v>
      </c>
      <c r="O57" s="185"/>
      <c r="P57" s="153"/>
      <c r="Q57" s="133">
        <f t="shared" si="4"/>
        <v>0</v>
      </c>
      <c r="R57" s="134">
        <f t="shared" si="5"/>
        <v>2</v>
      </c>
      <c r="S57" s="135">
        <f t="shared" si="26"/>
        <v>9</v>
      </c>
      <c r="T57" s="136">
        <f t="shared" si="7"/>
        <v>0.12165458799360876</v>
      </c>
      <c r="U57" s="134">
        <f t="shared" si="8"/>
        <v>2</v>
      </c>
      <c r="V57" s="137">
        <f t="shared" si="9"/>
        <v>182</v>
      </c>
      <c r="W57" s="133">
        <f t="shared" si="10"/>
        <v>0</v>
      </c>
      <c r="X57" s="134">
        <f t="shared" si="11"/>
        <v>2</v>
      </c>
      <c r="Y57" s="137">
        <f t="shared" si="12"/>
        <v>0</v>
      </c>
      <c r="Z57" s="133">
        <f t="shared" si="13"/>
        <v>0</v>
      </c>
      <c r="AA57" s="138">
        <f t="shared" si="14"/>
        <v>0</v>
      </c>
      <c r="AB57" s="137">
        <f t="shared" si="15"/>
        <v>2</v>
      </c>
      <c r="AC57" s="104">
        <f t="shared" si="16"/>
        <v>10405</v>
      </c>
      <c r="AD57" s="323">
        <f t="shared" si="20"/>
        <v>0</v>
      </c>
      <c r="AE57" s="325">
        <f t="shared" si="21"/>
        <v>9475</v>
      </c>
      <c r="AF57" s="324">
        <f t="shared" si="22"/>
        <v>0</v>
      </c>
      <c r="AG57" s="104">
        <f t="shared" si="27"/>
        <v>-335.64516129032256</v>
      </c>
    </row>
    <row r="58" spans="1:33" x14ac:dyDescent="0.25">
      <c r="A58" s="120">
        <f t="shared" si="19"/>
        <v>56</v>
      </c>
      <c r="B58" s="121">
        <v>3</v>
      </c>
      <c r="C58" s="122" t="s">
        <v>328</v>
      </c>
      <c r="D58" s="123" t="s">
        <v>258</v>
      </c>
      <c r="E58" s="124">
        <v>1964</v>
      </c>
      <c r="F58" s="146" t="s">
        <v>199</v>
      </c>
      <c r="G58" s="125">
        <v>27</v>
      </c>
      <c r="H58" s="126">
        <f t="shared" si="25"/>
        <v>12920</v>
      </c>
      <c r="I58" s="127">
        <f t="shared" si="31"/>
        <v>1995</v>
      </c>
      <c r="J58" s="159"/>
      <c r="K58" s="181" t="str">
        <f t="shared" si="28"/>
        <v>2+High-end</v>
      </c>
      <c r="L58" s="182" t="s">
        <v>314</v>
      </c>
      <c r="M58" s="146" t="s">
        <v>208</v>
      </c>
      <c r="N58" s="183">
        <f>N57</f>
        <v>12150</v>
      </c>
      <c r="O58" s="185"/>
      <c r="P58" s="153"/>
      <c r="Q58" s="133">
        <f t="shared" si="4"/>
        <v>2</v>
      </c>
      <c r="R58" s="134">
        <f t="shared" si="5"/>
        <v>0</v>
      </c>
      <c r="S58" s="135">
        <f t="shared" si="26"/>
        <v>48</v>
      </c>
      <c r="T58" s="136">
        <f t="shared" si="7"/>
        <v>0.8847295138096325</v>
      </c>
      <c r="U58" s="134">
        <f t="shared" si="8"/>
        <v>2</v>
      </c>
      <c r="V58" s="137">
        <f t="shared" si="9"/>
        <v>54</v>
      </c>
      <c r="W58" s="133">
        <f t="shared" si="10"/>
        <v>0</v>
      </c>
      <c r="X58" s="134">
        <f t="shared" si="11"/>
        <v>0</v>
      </c>
      <c r="Y58" s="137">
        <f t="shared" si="12"/>
        <v>2</v>
      </c>
      <c r="Z58" s="133">
        <f t="shared" si="13"/>
        <v>0</v>
      </c>
      <c r="AA58" s="138">
        <f t="shared" si="14"/>
        <v>0</v>
      </c>
      <c r="AB58" s="137">
        <f t="shared" si="15"/>
        <v>2</v>
      </c>
      <c r="AC58" s="104">
        <f t="shared" si="16"/>
        <v>14310</v>
      </c>
      <c r="AD58" s="323">
        <f t="shared" si="20"/>
        <v>0</v>
      </c>
      <c r="AE58" s="325">
        <f t="shared" si="21"/>
        <v>0</v>
      </c>
      <c r="AF58" s="324">
        <f t="shared" si="22"/>
        <v>12920</v>
      </c>
      <c r="AG58" s="104">
        <f t="shared" si="27"/>
        <v>7385.8064516129034</v>
      </c>
    </row>
    <row r="59" spans="1:33" x14ac:dyDescent="0.25">
      <c r="A59" s="120">
        <f t="shared" si="19"/>
        <v>57</v>
      </c>
      <c r="B59" s="121" t="s">
        <v>237</v>
      </c>
      <c r="C59" s="122" t="s">
        <v>330</v>
      </c>
      <c r="D59" s="123" t="s">
        <v>213</v>
      </c>
      <c r="E59" s="124">
        <v>1997</v>
      </c>
      <c r="F59" s="122" t="s">
        <v>214</v>
      </c>
      <c r="G59" s="125">
        <v>20</v>
      </c>
      <c r="H59" s="126">
        <f t="shared" si="25"/>
        <v>5775</v>
      </c>
      <c r="I59" s="127">
        <f t="shared" si="31"/>
        <v>2028</v>
      </c>
      <c r="J59" s="159"/>
      <c r="K59" s="181" t="str">
        <f t="shared" si="28"/>
        <v>2+Low-end</v>
      </c>
      <c r="L59" s="182" t="s">
        <v>314</v>
      </c>
      <c r="M59" s="146" t="s">
        <v>214</v>
      </c>
      <c r="N59" s="180">
        <f>N57*Reductie</f>
        <v>8505</v>
      </c>
      <c r="O59" s="185"/>
      <c r="P59" s="153"/>
      <c r="Q59" s="133">
        <f t="shared" si="4"/>
        <v>1</v>
      </c>
      <c r="R59" s="134">
        <f t="shared" si="5"/>
        <v>0</v>
      </c>
      <c r="S59" s="135">
        <f t="shared" si="26"/>
        <v>15</v>
      </c>
      <c r="T59" s="136">
        <f t="shared" si="7"/>
        <v>0.12358051814654189</v>
      </c>
      <c r="U59" s="134">
        <f t="shared" si="8"/>
        <v>1</v>
      </c>
      <c r="V59" s="137">
        <f t="shared" si="9"/>
        <v>20</v>
      </c>
      <c r="W59" s="133">
        <f t="shared" si="10"/>
        <v>1</v>
      </c>
      <c r="X59" s="134">
        <f t="shared" si="11"/>
        <v>0</v>
      </c>
      <c r="Y59" s="137">
        <f t="shared" si="12"/>
        <v>0</v>
      </c>
      <c r="Z59" s="133">
        <f t="shared" si="13"/>
        <v>0</v>
      </c>
      <c r="AA59" s="138">
        <f t="shared" si="14"/>
        <v>0</v>
      </c>
      <c r="AB59" s="137">
        <f t="shared" si="15"/>
        <v>1</v>
      </c>
      <c r="AC59" s="104">
        <f t="shared" si="16"/>
        <v>6470</v>
      </c>
      <c r="AD59" s="323">
        <f t="shared" si="20"/>
        <v>5775</v>
      </c>
      <c r="AE59" s="325">
        <f t="shared" si="21"/>
        <v>0</v>
      </c>
      <c r="AF59" s="324">
        <f t="shared" si="22"/>
        <v>0</v>
      </c>
      <c r="AG59" s="104">
        <f t="shared" si="27"/>
        <v>-208.70967741935485</v>
      </c>
    </row>
    <row r="60" spans="1:33" x14ac:dyDescent="0.25">
      <c r="A60" s="120">
        <f t="shared" si="19"/>
        <v>58</v>
      </c>
      <c r="B60" s="121">
        <v>2</v>
      </c>
      <c r="C60" s="122" t="s">
        <v>331</v>
      </c>
      <c r="D60" s="123" t="s">
        <v>278</v>
      </c>
      <c r="E60" s="124">
        <v>2010</v>
      </c>
      <c r="F60" s="146" t="s">
        <v>198</v>
      </c>
      <c r="G60" s="125">
        <v>200</v>
      </c>
      <c r="H60" s="126">
        <f t="shared" si="25"/>
        <v>12890</v>
      </c>
      <c r="I60" s="127">
        <f t="shared" si="31"/>
        <v>2041</v>
      </c>
      <c r="J60" s="159"/>
      <c r="K60" s="181" t="str">
        <f t="shared" si="28"/>
        <v>2-Empacher</v>
      </c>
      <c r="L60" s="182" t="s">
        <v>319</v>
      </c>
      <c r="M60" s="179" t="s">
        <v>288</v>
      </c>
      <c r="N60" s="180">
        <f>12205*1.19</f>
        <v>14523.949999999999</v>
      </c>
      <c r="O60" s="185"/>
      <c r="P60" s="153"/>
      <c r="Q60" s="133">
        <f t="shared" si="4"/>
        <v>4</v>
      </c>
      <c r="R60" s="134">
        <f t="shared" si="5"/>
        <v>0</v>
      </c>
      <c r="S60" s="135">
        <f t="shared" si="26"/>
        <v>2</v>
      </c>
      <c r="T60" s="136">
        <f t="shared" si="7"/>
        <v>3.6778132846382101E-2</v>
      </c>
      <c r="U60" s="134">
        <f t="shared" si="8"/>
        <v>4</v>
      </c>
      <c r="V60" s="137">
        <f t="shared" si="9"/>
        <v>800</v>
      </c>
      <c r="W60" s="133">
        <f t="shared" si="10"/>
        <v>0</v>
      </c>
      <c r="X60" s="134">
        <f t="shared" si="11"/>
        <v>4</v>
      </c>
      <c r="Y60" s="137">
        <f t="shared" si="12"/>
        <v>0</v>
      </c>
      <c r="Z60" s="133">
        <f t="shared" si="13"/>
        <v>0</v>
      </c>
      <c r="AA60" s="138">
        <f t="shared" si="14"/>
        <v>4</v>
      </c>
      <c r="AB60" s="137">
        <f t="shared" si="15"/>
        <v>0</v>
      </c>
      <c r="AC60" s="104">
        <f t="shared" si="16"/>
        <v>15670</v>
      </c>
      <c r="AD60" s="323">
        <f t="shared" si="20"/>
        <v>0</v>
      </c>
      <c r="AE60" s="325">
        <f t="shared" si="21"/>
        <v>12890</v>
      </c>
      <c r="AF60" s="324">
        <f t="shared" si="22"/>
        <v>0</v>
      </c>
      <c r="AG60" s="104">
        <f t="shared" si="27"/>
        <v>-505.48387096774189</v>
      </c>
    </row>
    <row r="61" spans="1:33" x14ac:dyDescent="0.25">
      <c r="A61" s="120">
        <f t="shared" si="19"/>
        <v>59</v>
      </c>
      <c r="B61" s="121" t="s">
        <v>262</v>
      </c>
      <c r="C61" s="122" t="s">
        <v>332</v>
      </c>
      <c r="D61" s="123" t="s">
        <v>207</v>
      </c>
      <c r="E61" s="124">
        <v>1995</v>
      </c>
      <c r="F61" s="122" t="s">
        <v>208</v>
      </c>
      <c r="G61" s="125">
        <v>79</v>
      </c>
      <c r="H61" s="126">
        <f t="shared" si="25"/>
        <v>17900</v>
      </c>
      <c r="I61" s="127">
        <f t="shared" si="31"/>
        <v>2026</v>
      </c>
      <c r="J61" s="159"/>
      <c r="K61" s="181" t="str">
        <f t="shared" si="28"/>
        <v>2-Filippi</v>
      </c>
      <c r="L61" s="182" t="s">
        <v>319</v>
      </c>
      <c r="M61" s="182" t="s">
        <v>292</v>
      </c>
      <c r="N61" s="183">
        <v>12050</v>
      </c>
      <c r="O61" s="185"/>
      <c r="P61" s="153"/>
      <c r="Q61" s="133">
        <f t="shared" si="4"/>
        <v>0</v>
      </c>
      <c r="R61" s="134">
        <f t="shared" si="5"/>
        <v>4</v>
      </c>
      <c r="S61" s="135">
        <f t="shared" si="26"/>
        <v>17</v>
      </c>
      <c r="T61" s="136">
        <f t="shared" si="7"/>
        <v>0.4341189226204063</v>
      </c>
      <c r="U61" s="134">
        <f t="shared" si="8"/>
        <v>4</v>
      </c>
      <c r="V61" s="137">
        <f t="shared" si="9"/>
        <v>316</v>
      </c>
      <c r="W61" s="133">
        <f t="shared" si="10"/>
        <v>4</v>
      </c>
      <c r="X61" s="134">
        <f t="shared" si="11"/>
        <v>0</v>
      </c>
      <c r="Y61" s="137">
        <f t="shared" si="12"/>
        <v>0</v>
      </c>
      <c r="Z61" s="133">
        <f t="shared" si="13"/>
        <v>0</v>
      </c>
      <c r="AA61" s="138">
        <f t="shared" si="14"/>
        <v>0</v>
      </c>
      <c r="AB61" s="137">
        <f t="shared" si="15"/>
        <v>4</v>
      </c>
      <c r="AC61" s="104">
        <f t="shared" si="16"/>
        <v>19760</v>
      </c>
      <c r="AD61" s="323">
        <f t="shared" si="20"/>
        <v>17900</v>
      </c>
      <c r="AE61" s="325">
        <f t="shared" si="21"/>
        <v>0</v>
      </c>
      <c r="AF61" s="324">
        <f t="shared" si="22"/>
        <v>0</v>
      </c>
      <c r="AG61" s="104">
        <f t="shared" si="27"/>
        <v>-637.41935483870964</v>
      </c>
    </row>
    <row r="62" spans="1:33" x14ac:dyDescent="0.25">
      <c r="A62" s="120">
        <f t="shared" si="19"/>
        <v>60</v>
      </c>
      <c r="B62" s="121" t="s">
        <v>230</v>
      </c>
      <c r="C62" s="122" t="s">
        <v>333</v>
      </c>
      <c r="D62" s="123" t="s">
        <v>213</v>
      </c>
      <c r="E62" s="124">
        <v>2004</v>
      </c>
      <c r="F62" s="122" t="s">
        <v>214</v>
      </c>
      <c r="G62" s="125">
        <v>35</v>
      </c>
      <c r="H62" s="126">
        <f t="shared" si="25"/>
        <v>5775</v>
      </c>
      <c r="I62" s="127">
        <f t="shared" si="31"/>
        <v>2035</v>
      </c>
      <c r="J62" s="159"/>
      <c r="K62" s="181" t="str">
        <f t="shared" si="28"/>
        <v>2-High-end</v>
      </c>
      <c r="L62" s="182" t="s">
        <v>319</v>
      </c>
      <c r="M62" s="146" t="s">
        <v>208</v>
      </c>
      <c r="N62" s="183">
        <f>N61</f>
        <v>12050</v>
      </c>
      <c r="O62" s="185"/>
      <c r="P62" s="153"/>
      <c r="Q62" s="133">
        <f t="shared" si="4"/>
        <v>1</v>
      </c>
      <c r="R62" s="134">
        <f t="shared" si="5"/>
        <v>0</v>
      </c>
      <c r="S62" s="135">
        <f t="shared" si="26"/>
        <v>8</v>
      </c>
      <c r="T62" s="136">
        <f t="shared" si="7"/>
        <v>6.5909609678155678E-2</v>
      </c>
      <c r="U62" s="134">
        <f t="shared" si="8"/>
        <v>1</v>
      </c>
      <c r="V62" s="137">
        <f t="shared" si="9"/>
        <v>35</v>
      </c>
      <c r="W62" s="133">
        <f t="shared" si="10"/>
        <v>1</v>
      </c>
      <c r="X62" s="134">
        <f t="shared" si="11"/>
        <v>0</v>
      </c>
      <c r="Y62" s="137">
        <f t="shared" si="12"/>
        <v>0</v>
      </c>
      <c r="Z62" s="133">
        <f t="shared" si="13"/>
        <v>0</v>
      </c>
      <c r="AA62" s="138">
        <f t="shared" si="14"/>
        <v>0</v>
      </c>
      <c r="AB62" s="137">
        <f t="shared" si="15"/>
        <v>1</v>
      </c>
      <c r="AC62" s="104">
        <f t="shared" si="16"/>
        <v>6470</v>
      </c>
      <c r="AD62" s="323">
        <f t="shared" si="20"/>
        <v>5775</v>
      </c>
      <c r="AE62" s="325">
        <f t="shared" si="21"/>
        <v>0</v>
      </c>
      <c r="AF62" s="324">
        <f t="shared" si="22"/>
        <v>0</v>
      </c>
      <c r="AG62" s="104">
        <f t="shared" si="27"/>
        <v>-208.70967741935485</v>
      </c>
    </row>
    <row r="63" spans="1:33" x14ac:dyDescent="0.25">
      <c r="A63" s="120">
        <f t="shared" si="19"/>
        <v>61</v>
      </c>
      <c r="B63" s="121" t="s">
        <v>205</v>
      </c>
      <c r="C63" s="122" t="s">
        <v>334</v>
      </c>
      <c r="D63" s="123" t="s">
        <v>242</v>
      </c>
      <c r="E63" s="124">
        <v>1999</v>
      </c>
      <c r="F63" s="122" t="s">
        <v>208</v>
      </c>
      <c r="G63" s="125">
        <v>237</v>
      </c>
      <c r="H63" s="126">
        <f t="shared" si="25"/>
        <v>19700</v>
      </c>
      <c r="I63" s="127">
        <f t="shared" si="31"/>
        <v>2030</v>
      </c>
      <c r="J63" s="159"/>
      <c r="K63" s="181" t="str">
        <f t="shared" si="28"/>
        <v>2-Low-end</v>
      </c>
      <c r="L63" s="182" t="s">
        <v>319</v>
      </c>
      <c r="M63" s="146" t="s">
        <v>214</v>
      </c>
      <c r="N63" s="180">
        <f>N61*Reductie</f>
        <v>8435</v>
      </c>
      <c r="O63" s="185"/>
      <c r="P63" s="153"/>
      <c r="Q63" s="133">
        <f t="shared" si="4"/>
        <v>4</v>
      </c>
      <c r="R63" s="134">
        <f t="shared" si="5"/>
        <v>0</v>
      </c>
      <c r="S63" s="135">
        <f t="shared" si="26"/>
        <v>13</v>
      </c>
      <c r="T63" s="136">
        <f t="shared" si="7"/>
        <v>0.36535608308605344</v>
      </c>
      <c r="U63" s="134">
        <f t="shared" si="8"/>
        <v>4</v>
      </c>
      <c r="V63" s="137">
        <f t="shared" si="9"/>
        <v>948</v>
      </c>
      <c r="W63" s="133">
        <f t="shared" si="10"/>
        <v>4</v>
      </c>
      <c r="X63" s="134">
        <f t="shared" si="11"/>
        <v>0</v>
      </c>
      <c r="Y63" s="137">
        <f t="shared" si="12"/>
        <v>0</v>
      </c>
      <c r="Z63" s="133">
        <f t="shared" si="13"/>
        <v>0</v>
      </c>
      <c r="AA63" s="138">
        <f t="shared" si="14"/>
        <v>4</v>
      </c>
      <c r="AB63" s="137">
        <f t="shared" si="15"/>
        <v>0</v>
      </c>
      <c r="AC63" s="104">
        <f t="shared" si="16"/>
        <v>22480</v>
      </c>
      <c r="AD63" s="323">
        <f t="shared" si="20"/>
        <v>19700</v>
      </c>
      <c r="AE63" s="325">
        <f t="shared" si="21"/>
        <v>0</v>
      </c>
      <c r="AF63" s="324">
        <f t="shared" si="22"/>
        <v>0</v>
      </c>
      <c r="AG63" s="104">
        <f t="shared" si="27"/>
        <v>-725.16129032258061</v>
      </c>
    </row>
    <row r="64" spans="1:33" x14ac:dyDescent="0.25">
      <c r="A64" s="120">
        <f t="shared" si="19"/>
        <v>62</v>
      </c>
      <c r="B64" s="121" t="s">
        <v>205</v>
      </c>
      <c r="C64" s="122" t="s">
        <v>335</v>
      </c>
      <c r="D64" s="123" t="s">
        <v>213</v>
      </c>
      <c r="E64" s="124">
        <v>2008</v>
      </c>
      <c r="F64" s="122" t="s">
        <v>214</v>
      </c>
      <c r="G64" s="125">
        <v>104</v>
      </c>
      <c r="H64" s="126">
        <f t="shared" si="25"/>
        <v>5775</v>
      </c>
      <c r="I64" s="127">
        <f t="shared" si="31"/>
        <v>2039</v>
      </c>
      <c r="J64" s="159"/>
      <c r="K64" s="181" t="str">
        <f t="shared" si="28"/>
        <v>2xEmpacher</v>
      </c>
      <c r="L64" s="182" t="s">
        <v>219</v>
      </c>
      <c r="M64" s="179" t="s">
        <v>288</v>
      </c>
      <c r="N64" s="180">
        <f>12360*1.19</f>
        <v>14708.4</v>
      </c>
      <c r="O64" s="185"/>
      <c r="P64" s="153"/>
      <c r="Q64" s="133">
        <f t="shared" si="4"/>
        <v>1</v>
      </c>
      <c r="R64" s="134">
        <f t="shared" si="5"/>
        <v>0</v>
      </c>
      <c r="S64" s="135">
        <f t="shared" si="26"/>
        <v>4</v>
      </c>
      <c r="T64" s="136">
        <f t="shared" si="7"/>
        <v>3.2954804839077839E-2</v>
      </c>
      <c r="U64" s="134">
        <f t="shared" si="8"/>
        <v>1</v>
      </c>
      <c r="V64" s="137">
        <f t="shared" si="9"/>
        <v>104</v>
      </c>
      <c r="W64" s="133">
        <f t="shared" si="10"/>
        <v>1</v>
      </c>
      <c r="X64" s="134">
        <f t="shared" si="11"/>
        <v>0</v>
      </c>
      <c r="Y64" s="137">
        <f t="shared" si="12"/>
        <v>0</v>
      </c>
      <c r="Z64" s="133">
        <f t="shared" si="13"/>
        <v>0</v>
      </c>
      <c r="AA64" s="138">
        <f t="shared" si="14"/>
        <v>1</v>
      </c>
      <c r="AB64" s="137">
        <f t="shared" si="15"/>
        <v>0</v>
      </c>
      <c r="AC64" s="104">
        <f t="shared" si="16"/>
        <v>6470</v>
      </c>
      <c r="AD64" s="323">
        <f t="shared" si="20"/>
        <v>5775</v>
      </c>
      <c r="AE64" s="325">
        <f t="shared" si="21"/>
        <v>0</v>
      </c>
      <c r="AF64" s="324">
        <f t="shared" si="22"/>
        <v>0</v>
      </c>
      <c r="AG64" s="104">
        <f t="shared" si="27"/>
        <v>-208.70967741935485</v>
      </c>
    </row>
    <row r="65" spans="1:33" x14ac:dyDescent="0.25">
      <c r="A65" s="120">
        <f t="shared" si="19"/>
        <v>63</v>
      </c>
      <c r="B65" s="121">
        <v>2</v>
      </c>
      <c r="C65" s="122" t="s">
        <v>336</v>
      </c>
      <c r="D65" s="123" t="s">
        <v>258</v>
      </c>
      <c r="E65" s="124">
        <v>2003</v>
      </c>
      <c r="F65" s="146" t="s">
        <v>199</v>
      </c>
      <c r="G65" s="125">
        <v>73</v>
      </c>
      <c r="H65" s="126">
        <f t="shared" si="25"/>
        <v>12920</v>
      </c>
      <c r="I65" s="127">
        <f t="shared" si="31"/>
        <v>2034</v>
      </c>
      <c r="J65" s="159"/>
      <c r="K65" s="181" t="str">
        <f t="shared" si="28"/>
        <v>2xFilippi</v>
      </c>
      <c r="L65" s="182" t="s">
        <v>219</v>
      </c>
      <c r="M65" s="182" t="s">
        <v>292</v>
      </c>
      <c r="N65" s="183">
        <v>12700</v>
      </c>
      <c r="O65" s="185"/>
      <c r="P65" s="153"/>
      <c r="Q65" s="133">
        <f t="shared" si="4"/>
        <v>2</v>
      </c>
      <c r="R65" s="134">
        <f t="shared" si="5"/>
        <v>0</v>
      </c>
      <c r="S65" s="135">
        <f t="shared" si="26"/>
        <v>9</v>
      </c>
      <c r="T65" s="136">
        <f t="shared" si="7"/>
        <v>0.16588678383930611</v>
      </c>
      <c r="U65" s="134">
        <f t="shared" si="8"/>
        <v>2</v>
      </c>
      <c r="V65" s="137">
        <f t="shared" si="9"/>
        <v>146</v>
      </c>
      <c r="W65" s="133">
        <f t="shared" si="10"/>
        <v>0</v>
      </c>
      <c r="X65" s="134">
        <f t="shared" si="11"/>
        <v>0</v>
      </c>
      <c r="Y65" s="137">
        <f t="shared" si="12"/>
        <v>2</v>
      </c>
      <c r="Z65" s="133">
        <f t="shared" si="13"/>
        <v>0</v>
      </c>
      <c r="AA65" s="138">
        <f t="shared" si="14"/>
        <v>2</v>
      </c>
      <c r="AB65" s="137">
        <f t="shared" si="15"/>
        <v>0</v>
      </c>
      <c r="AC65" s="104">
        <f t="shared" si="16"/>
        <v>14310</v>
      </c>
      <c r="AD65" s="323">
        <f t="shared" si="20"/>
        <v>0</v>
      </c>
      <c r="AE65" s="325">
        <f t="shared" si="21"/>
        <v>0</v>
      </c>
      <c r="AF65" s="324">
        <f t="shared" si="22"/>
        <v>12920</v>
      </c>
      <c r="AG65" s="104">
        <f t="shared" si="27"/>
        <v>-461.61290322580646</v>
      </c>
    </row>
    <row r="66" spans="1:33" x14ac:dyDescent="0.25">
      <c r="A66" s="120">
        <f t="shared" si="19"/>
        <v>64</v>
      </c>
      <c r="B66" s="121" t="s">
        <v>230</v>
      </c>
      <c r="C66" s="122" t="s">
        <v>337</v>
      </c>
      <c r="D66" s="123" t="s">
        <v>213</v>
      </c>
      <c r="E66" s="124">
        <v>2008</v>
      </c>
      <c r="F66" s="122" t="s">
        <v>214</v>
      </c>
      <c r="G66" s="125">
        <v>69</v>
      </c>
      <c r="H66" s="126">
        <f t="shared" si="25"/>
        <v>5775</v>
      </c>
      <c r="I66" s="127">
        <f t="shared" si="31"/>
        <v>2039</v>
      </c>
      <c r="J66" s="159"/>
      <c r="K66" s="181" t="str">
        <f t="shared" si="28"/>
        <v>2xHigh-end</v>
      </c>
      <c r="L66" s="182" t="s">
        <v>219</v>
      </c>
      <c r="M66" s="146" t="s">
        <v>208</v>
      </c>
      <c r="N66" s="183">
        <f>N65</f>
        <v>12700</v>
      </c>
      <c r="O66" s="185"/>
      <c r="P66" s="153"/>
      <c r="Q66" s="133">
        <f t="shared" si="4"/>
        <v>1</v>
      </c>
      <c r="R66" s="134">
        <f t="shared" si="5"/>
        <v>0</v>
      </c>
      <c r="S66" s="135">
        <f t="shared" si="26"/>
        <v>4</v>
      </c>
      <c r="T66" s="136">
        <f t="shared" si="7"/>
        <v>3.2954804839077839E-2</v>
      </c>
      <c r="U66" s="134">
        <f t="shared" si="8"/>
        <v>1</v>
      </c>
      <c r="V66" s="137">
        <f t="shared" si="9"/>
        <v>69</v>
      </c>
      <c r="W66" s="133">
        <f t="shared" si="10"/>
        <v>1</v>
      </c>
      <c r="X66" s="134">
        <f t="shared" si="11"/>
        <v>0</v>
      </c>
      <c r="Y66" s="137">
        <f t="shared" si="12"/>
        <v>0</v>
      </c>
      <c r="Z66" s="133">
        <f t="shared" si="13"/>
        <v>0</v>
      </c>
      <c r="AA66" s="138">
        <f t="shared" si="14"/>
        <v>0</v>
      </c>
      <c r="AB66" s="137">
        <f t="shared" si="15"/>
        <v>1</v>
      </c>
      <c r="AC66" s="104">
        <f t="shared" si="16"/>
        <v>6470</v>
      </c>
      <c r="AD66" s="323">
        <f t="shared" si="20"/>
        <v>5775</v>
      </c>
      <c r="AE66" s="325">
        <f t="shared" si="21"/>
        <v>0</v>
      </c>
      <c r="AF66" s="324">
        <f t="shared" si="22"/>
        <v>0</v>
      </c>
      <c r="AG66" s="104">
        <f t="shared" si="27"/>
        <v>-208.70967741935485</v>
      </c>
    </row>
    <row r="67" spans="1:33" x14ac:dyDescent="0.25">
      <c r="A67" s="120">
        <f t="shared" si="19"/>
        <v>65</v>
      </c>
      <c r="B67" s="121">
        <v>3</v>
      </c>
      <c r="C67" s="122" t="s">
        <v>339</v>
      </c>
      <c r="D67" s="123" t="s">
        <v>300</v>
      </c>
      <c r="E67" s="124">
        <v>2008</v>
      </c>
      <c r="F67" s="146" t="s">
        <v>198</v>
      </c>
      <c r="G67" s="125">
        <v>64</v>
      </c>
      <c r="H67" s="126">
        <f t="shared" ref="H67:H98" si="32">VLOOKUP($D67&amp;$F67,$K$36:$N$152,4,FALSE)</f>
        <v>4990</v>
      </c>
      <c r="I67" s="127">
        <f t="shared" si="31"/>
        <v>2039</v>
      </c>
      <c r="J67" s="159"/>
      <c r="K67" s="181" t="str">
        <f t="shared" si="28"/>
        <v>2xLow-end</v>
      </c>
      <c r="L67" s="182" t="s">
        <v>219</v>
      </c>
      <c r="M67" s="146" t="s">
        <v>214</v>
      </c>
      <c r="N67" s="180">
        <f>N65*Reductie</f>
        <v>8890</v>
      </c>
      <c r="O67" s="185"/>
      <c r="P67" s="153"/>
      <c r="Q67" s="133">
        <f t="shared" ref="Q67:Q130" si="33">IF(FIND("X",UPPER($D67)&amp;"X",1)&lt;=LEN($D67),U67,0)</f>
        <v>1</v>
      </c>
      <c r="R67" s="134">
        <f t="shared" ref="R67:R130" si="34">IF(VALUE(Q67)=0,$U67,0)</f>
        <v>0</v>
      </c>
      <c r="S67" s="135">
        <f t="shared" ref="S67:S98" si="35">IF($E67=0,"-",jaar-$E67)</f>
        <v>4</v>
      </c>
      <c r="T67" s="136">
        <f t="shared" ref="T67:T130" si="36">IF(ISBLANK($E67),"-",($H67/$H$1)*S67)</f>
        <v>2.8475233964848207E-2</v>
      </c>
      <c r="U67" s="134">
        <f t="shared" ref="U67:U130" si="37">IF(ISBLANK($D67),0,VALUE(IF(LEFT($D67,1)="W",MID($D67,2,1),IF(LEFT(D67,1)="C",MID($D67,2,1),IF(LEFT(D67,1)="O",MID($D67,2,1),IF(LEFT(D67,1)="B",MID($D67,2,1),LEFT(D67,1)))))))</f>
        <v>1</v>
      </c>
      <c r="V67" s="137">
        <f t="shared" ref="V67:V130" si="38">$G67*$U67</f>
        <v>64</v>
      </c>
      <c r="W67" s="133">
        <f t="shared" ref="W67:W130" si="39">IF($U67&lt;&gt;0, IF(ISERROR(VALUE(LEFT($D67,1))),0,$U67),0)</f>
        <v>0</v>
      </c>
      <c r="X67" s="134">
        <f t="shared" ref="X67:X130" si="40">IF($U67&lt;&gt;0, IF(LEFT($D67,1)="C",$U67,0),0)</f>
        <v>1</v>
      </c>
      <c r="Y67" s="137">
        <f t="shared" ref="Y67:Y130" si="41">IF($U67&lt;&gt;0, IF(LEFT($D67,1)="W",$U67,0),0)</f>
        <v>0</v>
      </c>
      <c r="Z67" s="133">
        <f t="shared" ref="Z67:Z130" si="42">IF($B67&lt;&gt;"", IF(VALUE(LEFT($B67,1))=1,$U67,0),0)</f>
        <v>0</v>
      </c>
      <c r="AA67" s="138">
        <f t="shared" ref="AA67:AA130" si="43">IF($B67&lt;&gt;"", IF(VALUE(LEFT($B67,1))=2,$U67,0),0)</f>
        <v>0</v>
      </c>
      <c r="AB67" s="137">
        <f t="shared" ref="AB67:AB130" si="44">IF($B67&lt;&gt;"", IF(VALUE(LEFT($B67,1))=3,$U67,0),0)</f>
        <v>1</v>
      </c>
      <c r="AC67" s="104">
        <f t="shared" ref="AC67:AC130" si="45">H67+(Q67*$M$3)+(R67*$M$4)</f>
        <v>5685</v>
      </c>
      <c r="AD67" s="323">
        <f t="shared" si="20"/>
        <v>0</v>
      </c>
      <c r="AE67" s="325">
        <f t="shared" si="21"/>
        <v>4990</v>
      </c>
      <c r="AF67" s="324">
        <f t="shared" si="22"/>
        <v>0</v>
      </c>
      <c r="AG67" s="104">
        <f t="shared" ref="AG67:AG98" si="46">IF(levensduur&lt;&gt;0,(MAX($I67,peiljaar)-(levensduur+$E67+1))/levensduur*$AC67,0)</f>
        <v>-183.38709677419354</v>
      </c>
    </row>
    <row r="68" spans="1:33" x14ac:dyDescent="0.25">
      <c r="A68" s="120">
        <f t="shared" ref="A68:A131" si="47">ROW()-2</f>
        <v>66</v>
      </c>
      <c r="B68" s="121">
        <v>3</v>
      </c>
      <c r="C68" s="122" t="s">
        <v>340</v>
      </c>
      <c r="D68" s="123" t="s">
        <v>258</v>
      </c>
      <c r="E68" s="124">
        <v>2007</v>
      </c>
      <c r="F68" s="146" t="s">
        <v>199</v>
      </c>
      <c r="G68" s="125">
        <v>118</v>
      </c>
      <c r="H68" s="126">
        <f t="shared" si="32"/>
        <v>12920</v>
      </c>
      <c r="I68" s="127">
        <f t="shared" si="31"/>
        <v>2038</v>
      </c>
      <c r="J68" s="159"/>
      <c r="K68" s="181" t="str">
        <f t="shared" si="28"/>
        <v>2x/-Empacher</v>
      </c>
      <c r="L68" s="182" t="s">
        <v>329</v>
      </c>
      <c r="M68" s="179" t="s">
        <v>288</v>
      </c>
      <c r="N68" s="180">
        <f>13240*1.19</f>
        <v>15755.599999999999</v>
      </c>
      <c r="O68" s="185"/>
      <c r="P68" s="153"/>
      <c r="Q68" s="133">
        <f t="shared" si="33"/>
        <v>2</v>
      </c>
      <c r="R68" s="134">
        <f t="shared" si="34"/>
        <v>0</v>
      </c>
      <c r="S68" s="135">
        <f t="shared" si="35"/>
        <v>5</v>
      </c>
      <c r="T68" s="136">
        <f t="shared" si="36"/>
        <v>9.2159324355170061E-2</v>
      </c>
      <c r="U68" s="134">
        <f t="shared" si="37"/>
        <v>2</v>
      </c>
      <c r="V68" s="137">
        <f t="shared" si="38"/>
        <v>236</v>
      </c>
      <c r="W68" s="133">
        <f t="shared" si="39"/>
        <v>0</v>
      </c>
      <c r="X68" s="134">
        <f t="shared" si="40"/>
        <v>0</v>
      </c>
      <c r="Y68" s="137">
        <f t="shared" si="41"/>
        <v>2</v>
      </c>
      <c r="Z68" s="133">
        <f t="shared" si="42"/>
        <v>0</v>
      </c>
      <c r="AA68" s="138">
        <f t="shared" si="43"/>
        <v>0</v>
      </c>
      <c r="AB68" s="137">
        <f t="shared" si="44"/>
        <v>2</v>
      </c>
      <c r="AC68" s="104">
        <f t="shared" si="45"/>
        <v>14310</v>
      </c>
      <c r="AD68" s="323">
        <f t="shared" ref="AD68:AD131" si="48">IF(W68&lt;&gt;0,$H68,0)</f>
        <v>0</v>
      </c>
      <c r="AE68" s="325">
        <f t="shared" si="21"/>
        <v>0</v>
      </c>
      <c r="AF68" s="324">
        <f t="shared" si="22"/>
        <v>12920</v>
      </c>
      <c r="AG68" s="104">
        <f t="shared" si="46"/>
        <v>-461.61290322580646</v>
      </c>
    </row>
    <row r="69" spans="1:33" x14ac:dyDescent="0.25">
      <c r="A69" s="120">
        <f t="shared" si="47"/>
        <v>67</v>
      </c>
      <c r="B69" s="121"/>
      <c r="C69" s="122"/>
      <c r="D69" s="123"/>
      <c r="E69" s="124"/>
      <c r="F69" s="122"/>
      <c r="G69" s="125"/>
      <c r="H69" s="126">
        <f t="shared" si="32"/>
        <v>0</v>
      </c>
      <c r="I69" s="127">
        <f t="shared" si="31"/>
        <v>0</v>
      </c>
      <c r="J69" s="159"/>
      <c r="K69" s="181" t="str">
        <f t="shared" si="28"/>
        <v>2x/-Filippi</v>
      </c>
      <c r="L69" s="182" t="s">
        <v>329</v>
      </c>
      <c r="M69" s="182" t="s">
        <v>292</v>
      </c>
      <c r="N69" s="183">
        <v>13850</v>
      </c>
      <c r="O69" s="185"/>
      <c r="P69" s="153"/>
      <c r="Q69" s="133">
        <f t="shared" si="33"/>
        <v>0</v>
      </c>
      <c r="R69" s="134">
        <f t="shared" si="34"/>
        <v>0</v>
      </c>
      <c r="S69" s="135" t="str">
        <f t="shared" si="35"/>
        <v>-</v>
      </c>
      <c r="T69" s="136" t="str">
        <f t="shared" si="36"/>
        <v>-</v>
      </c>
      <c r="U69" s="134">
        <f t="shared" si="37"/>
        <v>0</v>
      </c>
      <c r="V69" s="137">
        <f t="shared" si="38"/>
        <v>0</v>
      </c>
      <c r="W69" s="133">
        <f t="shared" si="39"/>
        <v>0</v>
      </c>
      <c r="X69" s="134">
        <f t="shared" si="40"/>
        <v>0</v>
      </c>
      <c r="Y69" s="137">
        <f t="shared" si="41"/>
        <v>0</v>
      </c>
      <c r="Z69" s="133">
        <f t="shared" si="42"/>
        <v>0</v>
      </c>
      <c r="AA69" s="138">
        <f t="shared" si="43"/>
        <v>0</v>
      </c>
      <c r="AB69" s="137">
        <f t="shared" si="44"/>
        <v>0</v>
      </c>
      <c r="AC69" s="104">
        <f t="shared" si="45"/>
        <v>0</v>
      </c>
      <c r="AD69" s="323">
        <f t="shared" si="48"/>
        <v>0</v>
      </c>
      <c r="AE69" s="325">
        <f t="shared" si="21"/>
        <v>0</v>
      </c>
      <c r="AF69" s="324">
        <f t="shared" si="22"/>
        <v>0</v>
      </c>
      <c r="AG69" s="104">
        <f t="shared" si="46"/>
        <v>0</v>
      </c>
    </row>
    <row r="70" spans="1:33" x14ac:dyDescent="0.25">
      <c r="A70" s="120">
        <f t="shared" si="47"/>
        <v>68</v>
      </c>
      <c r="B70" s="121"/>
      <c r="C70" s="122"/>
      <c r="D70" s="123"/>
      <c r="E70" s="124"/>
      <c r="F70" s="122"/>
      <c r="G70" s="125"/>
      <c r="H70" s="126">
        <f t="shared" si="32"/>
        <v>0</v>
      </c>
      <c r="I70" s="127">
        <f t="shared" si="31"/>
        <v>0</v>
      </c>
      <c r="J70" s="159"/>
      <c r="K70" s="181" t="str">
        <f t="shared" si="28"/>
        <v>2x/-High-end</v>
      </c>
      <c r="L70" s="182" t="s">
        <v>329</v>
      </c>
      <c r="M70" s="146" t="s">
        <v>208</v>
      </c>
      <c r="N70" s="183">
        <f>N69</f>
        <v>13850</v>
      </c>
      <c r="O70" s="185"/>
      <c r="P70" s="153"/>
      <c r="Q70" s="133">
        <f t="shared" si="33"/>
        <v>0</v>
      </c>
      <c r="R70" s="134">
        <f t="shared" si="34"/>
        <v>0</v>
      </c>
      <c r="S70" s="135" t="str">
        <f t="shared" si="35"/>
        <v>-</v>
      </c>
      <c r="T70" s="136" t="str">
        <f t="shared" si="36"/>
        <v>-</v>
      </c>
      <c r="U70" s="134">
        <f t="shared" si="37"/>
        <v>0</v>
      </c>
      <c r="V70" s="137">
        <f t="shared" si="38"/>
        <v>0</v>
      </c>
      <c r="W70" s="133">
        <f t="shared" si="39"/>
        <v>0</v>
      </c>
      <c r="X70" s="134">
        <f t="shared" si="40"/>
        <v>0</v>
      </c>
      <c r="Y70" s="137">
        <f t="shared" si="41"/>
        <v>0</v>
      </c>
      <c r="Z70" s="133">
        <f t="shared" si="42"/>
        <v>0</v>
      </c>
      <c r="AA70" s="138">
        <f t="shared" si="43"/>
        <v>0</v>
      </c>
      <c r="AB70" s="137">
        <f t="shared" si="44"/>
        <v>0</v>
      </c>
      <c r="AC70" s="104">
        <f t="shared" si="45"/>
        <v>0</v>
      </c>
      <c r="AD70" s="323">
        <f t="shared" si="48"/>
        <v>0</v>
      </c>
      <c r="AE70" s="325">
        <f t="shared" si="21"/>
        <v>0</v>
      </c>
      <c r="AF70" s="324">
        <f t="shared" si="22"/>
        <v>0</v>
      </c>
      <c r="AG70" s="104">
        <f t="shared" si="46"/>
        <v>0</v>
      </c>
    </row>
    <row r="71" spans="1:33" x14ac:dyDescent="0.25">
      <c r="A71" s="120">
        <f t="shared" si="47"/>
        <v>69</v>
      </c>
      <c r="B71" s="121"/>
      <c r="C71" s="122"/>
      <c r="D71" s="123"/>
      <c r="E71" s="124"/>
      <c r="F71" s="122"/>
      <c r="G71" s="125"/>
      <c r="H71" s="126">
        <f t="shared" si="32"/>
        <v>0</v>
      </c>
      <c r="I71" s="127">
        <f t="shared" si="31"/>
        <v>0</v>
      </c>
      <c r="J71" s="159"/>
      <c r="K71" s="181" t="str">
        <f t="shared" si="28"/>
        <v>2x/-Low-end</v>
      </c>
      <c r="L71" s="182" t="s">
        <v>329</v>
      </c>
      <c r="M71" s="146" t="s">
        <v>214</v>
      </c>
      <c r="N71" s="180">
        <f>N69*Reductie</f>
        <v>9695</v>
      </c>
      <c r="O71" s="185"/>
      <c r="P71" s="153"/>
      <c r="Q71" s="133">
        <f t="shared" si="33"/>
        <v>0</v>
      </c>
      <c r="R71" s="134">
        <f t="shared" si="34"/>
        <v>0</v>
      </c>
      <c r="S71" s="135" t="str">
        <f t="shared" si="35"/>
        <v>-</v>
      </c>
      <c r="T71" s="136" t="str">
        <f t="shared" si="36"/>
        <v>-</v>
      </c>
      <c r="U71" s="134">
        <f t="shared" si="37"/>
        <v>0</v>
      </c>
      <c r="V71" s="137">
        <f t="shared" si="38"/>
        <v>0</v>
      </c>
      <c r="W71" s="133">
        <f t="shared" si="39"/>
        <v>0</v>
      </c>
      <c r="X71" s="134">
        <f t="shared" si="40"/>
        <v>0</v>
      </c>
      <c r="Y71" s="137">
        <f t="shared" si="41"/>
        <v>0</v>
      </c>
      <c r="Z71" s="133">
        <f t="shared" si="42"/>
        <v>0</v>
      </c>
      <c r="AA71" s="138">
        <f t="shared" si="43"/>
        <v>0</v>
      </c>
      <c r="AB71" s="137">
        <f t="shared" si="44"/>
        <v>0</v>
      </c>
      <c r="AC71" s="104">
        <f t="shared" si="45"/>
        <v>0</v>
      </c>
      <c r="AD71" s="323">
        <f t="shared" si="48"/>
        <v>0</v>
      </c>
      <c r="AE71" s="325">
        <f t="shared" si="21"/>
        <v>0</v>
      </c>
      <c r="AF71" s="324">
        <f t="shared" si="22"/>
        <v>0</v>
      </c>
      <c r="AG71" s="104">
        <f t="shared" si="46"/>
        <v>0</v>
      </c>
    </row>
    <row r="72" spans="1:33" x14ac:dyDescent="0.25">
      <c r="A72" s="120">
        <f t="shared" si="47"/>
        <v>70</v>
      </c>
      <c r="B72" s="121"/>
      <c r="C72" s="122"/>
      <c r="D72" s="123"/>
      <c r="E72" s="124"/>
      <c r="F72" s="122"/>
      <c r="G72" s="125"/>
      <c r="H72" s="126">
        <f t="shared" si="32"/>
        <v>0</v>
      </c>
      <c r="I72" s="127">
        <f t="shared" si="31"/>
        <v>0</v>
      </c>
      <c r="J72" s="159"/>
      <c r="K72" s="181" t="str">
        <f t="shared" si="28"/>
        <v>1xEmpacher</v>
      </c>
      <c r="L72" s="182" t="s">
        <v>213</v>
      </c>
      <c r="M72" s="146" t="s">
        <v>288</v>
      </c>
      <c r="N72" s="180">
        <f>7570*1.19</f>
        <v>9008.2999999999993</v>
      </c>
      <c r="O72" s="185"/>
      <c r="P72" s="153"/>
      <c r="Q72" s="133">
        <f t="shared" si="33"/>
        <v>0</v>
      </c>
      <c r="R72" s="134">
        <f t="shared" si="34"/>
        <v>0</v>
      </c>
      <c r="S72" s="135" t="str">
        <f t="shared" si="35"/>
        <v>-</v>
      </c>
      <c r="T72" s="136" t="str">
        <f t="shared" si="36"/>
        <v>-</v>
      </c>
      <c r="U72" s="134">
        <f t="shared" si="37"/>
        <v>0</v>
      </c>
      <c r="V72" s="137">
        <f t="shared" si="38"/>
        <v>0</v>
      </c>
      <c r="W72" s="133">
        <f t="shared" si="39"/>
        <v>0</v>
      </c>
      <c r="X72" s="134">
        <f t="shared" si="40"/>
        <v>0</v>
      </c>
      <c r="Y72" s="137">
        <f t="shared" si="41"/>
        <v>0</v>
      </c>
      <c r="Z72" s="133">
        <f t="shared" si="42"/>
        <v>0</v>
      </c>
      <c r="AA72" s="138">
        <f t="shared" si="43"/>
        <v>0</v>
      </c>
      <c r="AB72" s="137">
        <f t="shared" si="44"/>
        <v>0</v>
      </c>
      <c r="AC72" s="104">
        <f t="shared" si="45"/>
        <v>0</v>
      </c>
      <c r="AD72" s="323">
        <f t="shared" si="48"/>
        <v>0</v>
      </c>
      <c r="AE72" s="325">
        <f t="shared" si="21"/>
        <v>0</v>
      </c>
      <c r="AF72" s="324">
        <f t="shared" si="22"/>
        <v>0</v>
      </c>
      <c r="AG72" s="104">
        <f t="shared" si="46"/>
        <v>0</v>
      </c>
    </row>
    <row r="73" spans="1:33" x14ac:dyDescent="0.25">
      <c r="A73" s="120">
        <f t="shared" si="47"/>
        <v>71</v>
      </c>
      <c r="B73" s="121"/>
      <c r="C73" s="122"/>
      <c r="D73" s="123"/>
      <c r="E73" s="124"/>
      <c r="F73" s="122"/>
      <c r="G73" s="125"/>
      <c r="H73" s="126">
        <f t="shared" si="32"/>
        <v>0</v>
      </c>
      <c r="I73" s="127">
        <f t="shared" si="31"/>
        <v>0</v>
      </c>
      <c r="J73" s="159"/>
      <c r="K73" s="181" t="str">
        <f t="shared" si="28"/>
        <v>1xFilippi</v>
      </c>
      <c r="L73" s="182" t="s">
        <v>213</v>
      </c>
      <c r="M73" s="146" t="s">
        <v>292</v>
      </c>
      <c r="N73" s="180">
        <v>8250</v>
      </c>
      <c r="O73" s="185"/>
      <c r="P73" s="153"/>
      <c r="Q73" s="133">
        <f t="shared" si="33"/>
        <v>0</v>
      </c>
      <c r="R73" s="134">
        <f t="shared" si="34"/>
        <v>0</v>
      </c>
      <c r="S73" s="135" t="str">
        <f t="shared" si="35"/>
        <v>-</v>
      </c>
      <c r="T73" s="136" t="str">
        <f t="shared" si="36"/>
        <v>-</v>
      </c>
      <c r="U73" s="134">
        <f t="shared" si="37"/>
        <v>0</v>
      </c>
      <c r="V73" s="137">
        <f t="shared" si="38"/>
        <v>0</v>
      </c>
      <c r="W73" s="133">
        <f t="shared" si="39"/>
        <v>0</v>
      </c>
      <c r="X73" s="134">
        <f t="shared" si="40"/>
        <v>0</v>
      </c>
      <c r="Y73" s="137">
        <f t="shared" si="41"/>
        <v>0</v>
      </c>
      <c r="Z73" s="133">
        <f t="shared" si="42"/>
        <v>0</v>
      </c>
      <c r="AA73" s="138">
        <f t="shared" si="43"/>
        <v>0</v>
      </c>
      <c r="AB73" s="137">
        <f t="shared" si="44"/>
        <v>0</v>
      </c>
      <c r="AC73" s="104">
        <f t="shared" si="45"/>
        <v>0</v>
      </c>
      <c r="AD73" s="323">
        <f t="shared" si="48"/>
        <v>0</v>
      </c>
      <c r="AE73" s="325">
        <f t="shared" si="21"/>
        <v>0</v>
      </c>
      <c r="AF73" s="324">
        <f t="shared" si="22"/>
        <v>0</v>
      </c>
      <c r="AG73" s="104">
        <f t="shared" si="46"/>
        <v>0</v>
      </c>
    </row>
    <row r="74" spans="1:33" x14ac:dyDescent="0.25">
      <c r="A74" s="120">
        <f t="shared" si="47"/>
        <v>72</v>
      </c>
      <c r="B74" s="121"/>
      <c r="C74" s="122"/>
      <c r="D74" s="123"/>
      <c r="E74" s="124"/>
      <c r="F74" s="122"/>
      <c r="G74" s="125"/>
      <c r="H74" s="126">
        <f t="shared" si="32"/>
        <v>0</v>
      </c>
      <c r="I74" s="127">
        <f t="shared" si="31"/>
        <v>0</v>
      </c>
      <c r="J74" s="159"/>
      <c r="K74" s="181" t="str">
        <f t="shared" si="28"/>
        <v>1xHigh-end</v>
      </c>
      <c r="L74" s="182" t="s">
        <v>213</v>
      </c>
      <c r="M74" s="146" t="s">
        <v>208</v>
      </c>
      <c r="N74" s="180">
        <f>N73</f>
        <v>8250</v>
      </c>
      <c r="O74" s="185"/>
      <c r="P74" s="153"/>
      <c r="Q74" s="133">
        <f t="shared" si="33"/>
        <v>0</v>
      </c>
      <c r="R74" s="134">
        <f t="shared" si="34"/>
        <v>0</v>
      </c>
      <c r="S74" s="135" t="str">
        <f t="shared" si="35"/>
        <v>-</v>
      </c>
      <c r="T74" s="136" t="str">
        <f t="shared" si="36"/>
        <v>-</v>
      </c>
      <c r="U74" s="134">
        <f t="shared" si="37"/>
        <v>0</v>
      </c>
      <c r="V74" s="137">
        <f t="shared" si="38"/>
        <v>0</v>
      </c>
      <c r="W74" s="133">
        <f t="shared" si="39"/>
        <v>0</v>
      </c>
      <c r="X74" s="134">
        <f t="shared" si="40"/>
        <v>0</v>
      </c>
      <c r="Y74" s="137">
        <f t="shared" si="41"/>
        <v>0</v>
      </c>
      <c r="Z74" s="133">
        <f t="shared" si="42"/>
        <v>0</v>
      </c>
      <c r="AA74" s="138">
        <f t="shared" si="43"/>
        <v>0</v>
      </c>
      <c r="AB74" s="137">
        <f t="shared" si="44"/>
        <v>0</v>
      </c>
      <c r="AC74" s="104">
        <f t="shared" si="45"/>
        <v>0</v>
      </c>
      <c r="AD74" s="323">
        <f t="shared" si="48"/>
        <v>0</v>
      </c>
      <c r="AE74" s="325">
        <f t="shared" si="21"/>
        <v>0</v>
      </c>
      <c r="AF74" s="324">
        <f t="shared" si="22"/>
        <v>0</v>
      </c>
      <c r="AG74" s="104">
        <f t="shared" si="46"/>
        <v>0</v>
      </c>
    </row>
    <row r="75" spans="1:33" x14ac:dyDescent="0.25">
      <c r="A75" s="120">
        <f t="shared" si="47"/>
        <v>73</v>
      </c>
      <c r="B75" s="121"/>
      <c r="C75" s="122"/>
      <c r="D75" s="123"/>
      <c r="E75" s="124"/>
      <c r="F75" s="122"/>
      <c r="G75" s="125"/>
      <c r="H75" s="126">
        <f t="shared" si="32"/>
        <v>0</v>
      </c>
      <c r="I75" s="127">
        <f t="shared" si="31"/>
        <v>0</v>
      </c>
      <c r="J75" s="159"/>
      <c r="K75" s="181" t="str">
        <f t="shared" si="28"/>
        <v>1xLow-end</v>
      </c>
      <c r="L75" s="182" t="s">
        <v>213</v>
      </c>
      <c r="M75" s="146" t="s">
        <v>214</v>
      </c>
      <c r="N75" s="180">
        <f>N73*Reductie</f>
        <v>5775</v>
      </c>
      <c r="O75" s="185"/>
      <c r="P75" s="153"/>
      <c r="Q75" s="133">
        <f t="shared" si="33"/>
        <v>0</v>
      </c>
      <c r="R75" s="134">
        <f t="shared" si="34"/>
        <v>0</v>
      </c>
      <c r="S75" s="135" t="str">
        <f t="shared" si="35"/>
        <v>-</v>
      </c>
      <c r="T75" s="136" t="str">
        <f t="shared" si="36"/>
        <v>-</v>
      </c>
      <c r="U75" s="134">
        <f t="shared" si="37"/>
        <v>0</v>
      </c>
      <c r="V75" s="137">
        <f t="shared" si="38"/>
        <v>0</v>
      </c>
      <c r="W75" s="133">
        <f t="shared" si="39"/>
        <v>0</v>
      </c>
      <c r="X75" s="134">
        <f t="shared" si="40"/>
        <v>0</v>
      </c>
      <c r="Y75" s="137">
        <f t="shared" si="41"/>
        <v>0</v>
      </c>
      <c r="Z75" s="133">
        <f t="shared" si="42"/>
        <v>0</v>
      </c>
      <c r="AA75" s="138">
        <f t="shared" si="43"/>
        <v>0</v>
      </c>
      <c r="AB75" s="137">
        <f t="shared" si="44"/>
        <v>0</v>
      </c>
      <c r="AC75" s="104">
        <f t="shared" si="45"/>
        <v>0</v>
      </c>
      <c r="AD75" s="323">
        <f t="shared" si="48"/>
        <v>0</v>
      </c>
      <c r="AE75" s="325">
        <f t="shared" si="21"/>
        <v>0</v>
      </c>
      <c r="AF75" s="324">
        <f t="shared" si="22"/>
        <v>0</v>
      </c>
      <c r="AG75" s="104">
        <f t="shared" si="46"/>
        <v>0</v>
      </c>
    </row>
    <row r="76" spans="1:33" x14ac:dyDescent="0.25">
      <c r="A76" s="120">
        <f t="shared" si="47"/>
        <v>74</v>
      </c>
      <c r="B76" s="121"/>
      <c r="C76" s="122"/>
      <c r="D76" s="123"/>
      <c r="E76" s="124"/>
      <c r="F76" s="122"/>
      <c r="G76" s="125"/>
      <c r="H76" s="126">
        <f t="shared" si="32"/>
        <v>0</v>
      </c>
      <c r="I76" s="127">
        <f t="shared" si="31"/>
        <v>0</v>
      </c>
      <c r="J76" s="159"/>
      <c r="K76" s="181" t="str">
        <f t="shared" si="28"/>
        <v>1xOefen</v>
      </c>
      <c r="L76" s="182" t="s">
        <v>213</v>
      </c>
      <c r="M76" s="146" t="s">
        <v>338</v>
      </c>
      <c r="N76" s="180">
        <f>N75</f>
        <v>5775</v>
      </c>
      <c r="O76" s="185"/>
      <c r="P76" s="153"/>
      <c r="Q76" s="133">
        <f t="shared" si="33"/>
        <v>0</v>
      </c>
      <c r="R76" s="134">
        <f t="shared" si="34"/>
        <v>0</v>
      </c>
      <c r="S76" s="135" t="str">
        <f t="shared" si="35"/>
        <v>-</v>
      </c>
      <c r="T76" s="136" t="str">
        <f t="shared" si="36"/>
        <v>-</v>
      </c>
      <c r="U76" s="134">
        <f t="shared" si="37"/>
        <v>0</v>
      </c>
      <c r="V76" s="137">
        <f t="shared" si="38"/>
        <v>0</v>
      </c>
      <c r="W76" s="133">
        <f t="shared" si="39"/>
        <v>0</v>
      </c>
      <c r="X76" s="134">
        <f t="shared" si="40"/>
        <v>0</v>
      </c>
      <c r="Y76" s="137">
        <f t="shared" si="41"/>
        <v>0</v>
      </c>
      <c r="Z76" s="133">
        <f t="shared" si="42"/>
        <v>0</v>
      </c>
      <c r="AA76" s="138">
        <f t="shared" si="43"/>
        <v>0</v>
      </c>
      <c r="AB76" s="137">
        <f t="shared" si="44"/>
        <v>0</v>
      </c>
      <c r="AC76" s="104">
        <f t="shared" si="45"/>
        <v>0</v>
      </c>
      <c r="AD76" s="323">
        <f t="shared" si="48"/>
        <v>0</v>
      </c>
      <c r="AE76" s="325">
        <f t="shared" si="21"/>
        <v>0</v>
      </c>
      <c r="AF76" s="324">
        <f t="shared" si="22"/>
        <v>0</v>
      </c>
      <c r="AG76" s="104">
        <f t="shared" si="46"/>
        <v>0</v>
      </c>
    </row>
    <row r="77" spans="1:33" x14ac:dyDescent="0.25">
      <c r="A77" s="120">
        <f t="shared" si="47"/>
        <v>75</v>
      </c>
      <c r="B77" s="121"/>
      <c r="C77" s="122"/>
      <c r="D77" s="123"/>
      <c r="E77" s="124"/>
      <c r="F77" s="122"/>
      <c r="G77" s="125"/>
      <c r="H77" s="126">
        <f t="shared" si="32"/>
        <v>0</v>
      </c>
      <c r="I77" s="127">
        <f t="shared" si="31"/>
        <v>0</v>
      </c>
      <c r="J77" s="159"/>
      <c r="K77" s="181" t="str">
        <f t="shared" si="28"/>
        <v>C4x+C-boot</v>
      </c>
      <c r="L77" s="182" t="s">
        <v>278</v>
      </c>
      <c r="M77" s="146" t="s">
        <v>198</v>
      </c>
      <c r="N77" s="180">
        <v>12890</v>
      </c>
      <c r="O77" s="185"/>
      <c r="P77" s="153"/>
      <c r="Q77" s="133">
        <f t="shared" si="33"/>
        <v>0</v>
      </c>
      <c r="R77" s="134">
        <f t="shared" si="34"/>
        <v>0</v>
      </c>
      <c r="S77" s="135" t="str">
        <f t="shared" si="35"/>
        <v>-</v>
      </c>
      <c r="T77" s="136" t="str">
        <f t="shared" si="36"/>
        <v>-</v>
      </c>
      <c r="U77" s="134">
        <f t="shared" si="37"/>
        <v>0</v>
      </c>
      <c r="V77" s="137">
        <f t="shared" si="38"/>
        <v>0</v>
      </c>
      <c r="W77" s="133">
        <f t="shared" si="39"/>
        <v>0</v>
      </c>
      <c r="X77" s="134">
        <f t="shared" si="40"/>
        <v>0</v>
      </c>
      <c r="Y77" s="137">
        <f t="shared" si="41"/>
        <v>0</v>
      </c>
      <c r="Z77" s="133">
        <f t="shared" si="42"/>
        <v>0</v>
      </c>
      <c r="AA77" s="138">
        <f t="shared" si="43"/>
        <v>0</v>
      </c>
      <c r="AB77" s="137">
        <f t="shared" si="44"/>
        <v>0</v>
      </c>
      <c r="AC77" s="104">
        <f t="shared" si="45"/>
        <v>0</v>
      </c>
      <c r="AD77" s="323">
        <f t="shared" si="48"/>
        <v>0</v>
      </c>
      <c r="AE77" s="325">
        <f t="shared" si="21"/>
        <v>0</v>
      </c>
      <c r="AF77" s="324">
        <f t="shared" si="22"/>
        <v>0</v>
      </c>
      <c r="AG77" s="104">
        <f t="shared" si="46"/>
        <v>0</v>
      </c>
    </row>
    <row r="78" spans="1:33" x14ac:dyDescent="0.25">
      <c r="A78" s="120">
        <f t="shared" si="47"/>
        <v>76</v>
      </c>
      <c r="B78" s="121"/>
      <c r="C78" s="122"/>
      <c r="D78" s="123"/>
      <c r="E78" s="124"/>
      <c r="F78" s="122"/>
      <c r="G78" s="125"/>
      <c r="H78" s="126">
        <f t="shared" si="32"/>
        <v>0</v>
      </c>
      <c r="I78" s="127">
        <f t="shared" si="31"/>
        <v>0</v>
      </c>
      <c r="J78" s="159"/>
      <c r="K78" s="181" t="str">
        <f t="shared" si="28"/>
        <v>C4+C-boot</v>
      </c>
      <c r="L78" s="182" t="s">
        <v>223</v>
      </c>
      <c r="M78" s="146" t="s">
        <v>198</v>
      </c>
      <c r="N78" s="180">
        <v>11990</v>
      </c>
      <c r="O78" s="185"/>
      <c r="P78" s="153"/>
      <c r="Q78" s="133">
        <f t="shared" si="33"/>
        <v>0</v>
      </c>
      <c r="R78" s="134">
        <f t="shared" si="34"/>
        <v>0</v>
      </c>
      <c r="S78" s="135" t="str">
        <f t="shared" si="35"/>
        <v>-</v>
      </c>
      <c r="T78" s="136" t="str">
        <f t="shared" si="36"/>
        <v>-</v>
      </c>
      <c r="U78" s="134">
        <f t="shared" si="37"/>
        <v>0</v>
      </c>
      <c r="V78" s="137">
        <f t="shared" si="38"/>
        <v>0</v>
      </c>
      <c r="W78" s="133">
        <f t="shared" si="39"/>
        <v>0</v>
      </c>
      <c r="X78" s="134">
        <f t="shared" si="40"/>
        <v>0</v>
      </c>
      <c r="Y78" s="137">
        <f t="shared" si="41"/>
        <v>0</v>
      </c>
      <c r="Z78" s="133">
        <f t="shared" si="42"/>
        <v>0</v>
      </c>
      <c r="AA78" s="138">
        <f t="shared" si="43"/>
        <v>0</v>
      </c>
      <c r="AB78" s="137">
        <f t="shared" si="44"/>
        <v>0</v>
      </c>
      <c r="AC78" s="104">
        <f t="shared" si="45"/>
        <v>0</v>
      </c>
      <c r="AD78" s="323">
        <f t="shared" si="48"/>
        <v>0</v>
      </c>
      <c r="AE78" s="325">
        <f t="shared" si="21"/>
        <v>0</v>
      </c>
      <c r="AF78" s="324">
        <f t="shared" si="22"/>
        <v>0</v>
      </c>
      <c r="AG78" s="104">
        <f t="shared" si="46"/>
        <v>0</v>
      </c>
    </row>
    <row r="79" spans="1:33" x14ac:dyDescent="0.25">
      <c r="A79" s="120">
        <f t="shared" si="47"/>
        <v>77</v>
      </c>
      <c r="B79" s="121"/>
      <c r="C79" s="122"/>
      <c r="D79" s="123"/>
      <c r="E79" s="124"/>
      <c r="F79" s="122"/>
      <c r="G79" s="125"/>
      <c r="H79" s="126">
        <f t="shared" si="32"/>
        <v>0</v>
      </c>
      <c r="I79" s="127">
        <f t="shared" si="31"/>
        <v>0</v>
      </c>
      <c r="J79" s="159"/>
      <c r="K79" s="181" t="str">
        <f t="shared" si="28"/>
        <v>C4+High-end</v>
      </c>
      <c r="L79" s="182" t="s">
        <v>223</v>
      </c>
      <c r="M79" s="146" t="s">
        <v>208</v>
      </c>
      <c r="N79" s="180">
        <v>16500</v>
      </c>
      <c r="O79" s="185"/>
      <c r="P79" s="153"/>
      <c r="Q79" s="133">
        <f t="shared" si="33"/>
        <v>0</v>
      </c>
      <c r="R79" s="134">
        <f t="shared" si="34"/>
        <v>0</v>
      </c>
      <c r="S79" s="135" t="str">
        <f t="shared" si="35"/>
        <v>-</v>
      </c>
      <c r="T79" s="136" t="str">
        <f t="shared" si="36"/>
        <v>-</v>
      </c>
      <c r="U79" s="134">
        <f t="shared" si="37"/>
        <v>0</v>
      </c>
      <c r="V79" s="137">
        <f t="shared" si="38"/>
        <v>0</v>
      </c>
      <c r="W79" s="133">
        <f t="shared" si="39"/>
        <v>0</v>
      </c>
      <c r="X79" s="134">
        <f t="shared" si="40"/>
        <v>0</v>
      </c>
      <c r="Y79" s="137">
        <f t="shared" si="41"/>
        <v>0</v>
      </c>
      <c r="Z79" s="133">
        <f t="shared" si="42"/>
        <v>0</v>
      </c>
      <c r="AA79" s="138">
        <f t="shared" si="43"/>
        <v>0</v>
      </c>
      <c r="AB79" s="137">
        <f t="shared" si="44"/>
        <v>0</v>
      </c>
      <c r="AC79" s="104">
        <f t="shared" si="45"/>
        <v>0</v>
      </c>
      <c r="AD79" s="323">
        <f t="shared" si="48"/>
        <v>0</v>
      </c>
      <c r="AE79" s="325">
        <f t="shared" si="21"/>
        <v>0</v>
      </c>
      <c r="AF79" s="324">
        <f t="shared" si="22"/>
        <v>0</v>
      </c>
      <c r="AG79" s="104">
        <f t="shared" si="46"/>
        <v>0</v>
      </c>
    </row>
    <row r="80" spans="1:33" x14ac:dyDescent="0.25">
      <c r="A80" s="120">
        <f t="shared" si="47"/>
        <v>78</v>
      </c>
      <c r="B80" s="121"/>
      <c r="C80" s="122"/>
      <c r="D80" s="123"/>
      <c r="E80" s="124"/>
      <c r="F80" s="122"/>
      <c r="G80" s="125"/>
      <c r="H80" s="126">
        <f t="shared" si="32"/>
        <v>0</v>
      </c>
      <c r="I80" s="127">
        <f t="shared" si="31"/>
        <v>0</v>
      </c>
      <c r="J80" s="159"/>
      <c r="K80" s="181" t="str">
        <f t="shared" si="28"/>
        <v>C2xC-boot</v>
      </c>
      <c r="L80" s="182" t="s">
        <v>310</v>
      </c>
      <c r="M80" s="146" t="s">
        <v>198</v>
      </c>
      <c r="N80" s="180">
        <v>7550</v>
      </c>
      <c r="O80" s="185"/>
      <c r="P80" s="153"/>
      <c r="Q80" s="133">
        <f t="shared" si="33"/>
        <v>0</v>
      </c>
      <c r="R80" s="134">
        <f t="shared" si="34"/>
        <v>0</v>
      </c>
      <c r="S80" s="135" t="str">
        <f t="shared" si="35"/>
        <v>-</v>
      </c>
      <c r="T80" s="136" t="str">
        <f t="shared" si="36"/>
        <v>-</v>
      </c>
      <c r="U80" s="134">
        <f t="shared" si="37"/>
        <v>0</v>
      </c>
      <c r="V80" s="137">
        <f t="shared" si="38"/>
        <v>0</v>
      </c>
      <c r="W80" s="133">
        <f t="shared" si="39"/>
        <v>0</v>
      </c>
      <c r="X80" s="134">
        <f t="shared" si="40"/>
        <v>0</v>
      </c>
      <c r="Y80" s="137">
        <f t="shared" si="41"/>
        <v>0</v>
      </c>
      <c r="Z80" s="133">
        <f t="shared" si="42"/>
        <v>0</v>
      </c>
      <c r="AA80" s="138">
        <f t="shared" si="43"/>
        <v>0</v>
      </c>
      <c r="AB80" s="137">
        <f t="shared" si="44"/>
        <v>0</v>
      </c>
      <c r="AC80" s="104">
        <f t="shared" si="45"/>
        <v>0</v>
      </c>
      <c r="AD80" s="323">
        <f t="shared" si="48"/>
        <v>0</v>
      </c>
      <c r="AE80" s="325">
        <f t="shared" si="21"/>
        <v>0</v>
      </c>
      <c r="AF80" s="324">
        <f t="shared" si="22"/>
        <v>0</v>
      </c>
      <c r="AG80" s="104">
        <f t="shared" si="46"/>
        <v>0</v>
      </c>
    </row>
    <row r="81" spans="1:33" x14ac:dyDescent="0.25">
      <c r="A81" s="120">
        <f t="shared" si="47"/>
        <v>79</v>
      </c>
      <c r="B81" s="121"/>
      <c r="C81" s="122"/>
      <c r="D81" s="123"/>
      <c r="E81" s="124"/>
      <c r="F81" s="122"/>
      <c r="G81" s="125"/>
      <c r="H81" s="126">
        <f t="shared" si="32"/>
        <v>0</v>
      </c>
      <c r="I81" s="127">
        <f t="shared" si="31"/>
        <v>0</v>
      </c>
      <c r="J81" s="159"/>
      <c r="K81" s="181" t="str">
        <f t="shared" si="28"/>
        <v>C2x+C-boot</v>
      </c>
      <c r="L81" s="182" t="s">
        <v>291</v>
      </c>
      <c r="M81" s="146" t="s">
        <v>198</v>
      </c>
      <c r="N81" s="180">
        <v>9745</v>
      </c>
      <c r="O81" s="185"/>
      <c r="P81" s="153"/>
      <c r="Q81" s="133">
        <f t="shared" si="33"/>
        <v>0</v>
      </c>
      <c r="R81" s="134">
        <f t="shared" si="34"/>
        <v>0</v>
      </c>
      <c r="S81" s="135" t="str">
        <f t="shared" si="35"/>
        <v>-</v>
      </c>
      <c r="T81" s="136" t="str">
        <f t="shared" si="36"/>
        <v>-</v>
      </c>
      <c r="U81" s="134">
        <f t="shared" si="37"/>
        <v>0</v>
      </c>
      <c r="V81" s="137">
        <f t="shared" si="38"/>
        <v>0</v>
      </c>
      <c r="W81" s="133">
        <f t="shared" si="39"/>
        <v>0</v>
      </c>
      <c r="X81" s="134">
        <f t="shared" si="40"/>
        <v>0</v>
      </c>
      <c r="Y81" s="137">
        <f t="shared" si="41"/>
        <v>0</v>
      </c>
      <c r="Z81" s="133">
        <f t="shared" si="42"/>
        <v>0</v>
      </c>
      <c r="AA81" s="138">
        <f t="shared" si="43"/>
        <v>0</v>
      </c>
      <c r="AB81" s="137">
        <f t="shared" si="44"/>
        <v>0</v>
      </c>
      <c r="AC81" s="104">
        <f t="shared" si="45"/>
        <v>0</v>
      </c>
      <c r="AD81" s="323">
        <f t="shared" si="48"/>
        <v>0</v>
      </c>
      <c r="AE81" s="325">
        <f t="shared" si="21"/>
        <v>0</v>
      </c>
      <c r="AF81" s="324">
        <f t="shared" si="22"/>
        <v>0</v>
      </c>
      <c r="AG81" s="104">
        <f t="shared" si="46"/>
        <v>0</v>
      </c>
    </row>
    <row r="82" spans="1:33" x14ac:dyDescent="0.25">
      <c r="A82" s="120">
        <f t="shared" si="47"/>
        <v>80</v>
      </c>
      <c r="B82" s="121"/>
      <c r="C82" s="122"/>
      <c r="D82" s="123"/>
      <c r="E82" s="124"/>
      <c r="F82" s="122"/>
      <c r="G82" s="125"/>
      <c r="H82" s="126">
        <f t="shared" si="32"/>
        <v>0</v>
      </c>
      <c r="I82" s="127">
        <f t="shared" si="31"/>
        <v>0</v>
      </c>
      <c r="J82" s="159"/>
      <c r="K82" s="181" t="str">
        <f t="shared" si="28"/>
        <v>C2+C-boot</v>
      </c>
      <c r="L82" s="182" t="s">
        <v>327</v>
      </c>
      <c r="M82" s="146" t="s">
        <v>198</v>
      </c>
      <c r="N82" s="180">
        <v>9475</v>
      </c>
      <c r="O82" s="185"/>
      <c r="P82" s="153"/>
      <c r="Q82" s="133">
        <f t="shared" si="33"/>
        <v>0</v>
      </c>
      <c r="R82" s="134">
        <f t="shared" si="34"/>
        <v>0</v>
      </c>
      <c r="S82" s="135" t="str">
        <f t="shared" si="35"/>
        <v>-</v>
      </c>
      <c r="T82" s="136" t="str">
        <f t="shared" si="36"/>
        <v>-</v>
      </c>
      <c r="U82" s="134">
        <f t="shared" si="37"/>
        <v>0</v>
      </c>
      <c r="V82" s="137">
        <f t="shared" si="38"/>
        <v>0</v>
      </c>
      <c r="W82" s="133">
        <f t="shared" si="39"/>
        <v>0</v>
      </c>
      <c r="X82" s="134">
        <f t="shared" si="40"/>
        <v>0</v>
      </c>
      <c r="Y82" s="137">
        <f t="shared" si="41"/>
        <v>0</v>
      </c>
      <c r="Z82" s="133">
        <f t="shared" si="42"/>
        <v>0</v>
      </c>
      <c r="AA82" s="138">
        <f t="shared" si="43"/>
        <v>0</v>
      </c>
      <c r="AB82" s="137">
        <f t="shared" si="44"/>
        <v>0</v>
      </c>
      <c r="AC82" s="104">
        <f t="shared" si="45"/>
        <v>0</v>
      </c>
      <c r="AD82" s="323">
        <f t="shared" si="48"/>
        <v>0</v>
      </c>
      <c r="AE82" s="325">
        <f t="shared" si="21"/>
        <v>0</v>
      </c>
      <c r="AF82" s="324">
        <f t="shared" si="22"/>
        <v>0</v>
      </c>
      <c r="AG82" s="104">
        <f t="shared" si="46"/>
        <v>0</v>
      </c>
    </row>
    <row r="83" spans="1:33" x14ac:dyDescent="0.25">
      <c r="A83" s="120">
        <f t="shared" si="47"/>
        <v>81</v>
      </c>
      <c r="B83" s="121"/>
      <c r="C83" s="122"/>
      <c r="D83" s="123"/>
      <c r="E83" s="124"/>
      <c r="F83" s="122"/>
      <c r="G83" s="125"/>
      <c r="H83" s="126">
        <f t="shared" si="32"/>
        <v>0</v>
      </c>
      <c r="I83" s="127">
        <f t="shared" si="31"/>
        <v>0</v>
      </c>
      <c r="J83" s="159"/>
      <c r="K83" s="181" t="str">
        <f t="shared" si="28"/>
        <v>C1xC-boot</v>
      </c>
      <c r="L83" s="182" t="s">
        <v>300</v>
      </c>
      <c r="M83" s="146" t="s">
        <v>198</v>
      </c>
      <c r="N83" s="180">
        <v>4990</v>
      </c>
      <c r="O83" s="185"/>
      <c r="P83" s="153"/>
      <c r="Q83" s="133">
        <f t="shared" si="33"/>
        <v>0</v>
      </c>
      <c r="R83" s="134">
        <f t="shared" si="34"/>
        <v>0</v>
      </c>
      <c r="S83" s="135" t="str">
        <f t="shared" si="35"/>
        <v>-</v>
      </c>
      <c r="T83" s="136" t="str">
        <f t="shared" si="36"/>
        <v>-</v>
      </c>
      <c r="U83" s="134">
        <f t="shared" si="37"/>
        <v>0</v>
      </c>
      <c r="V83" s="137">
        <f t="shared" si="38"/>
        <v>0</v>
      </c>
      <c r="W83" s="133">
        <f t="shared" si="39"/>
        <v>0</v>
      </c>
      <c r="X83" s="134">
        <f t="shared" si="40"/>
        <v>0</v>
      </c>
      <c r="Y83" s="137">
        <f t="shared" si="41"/>
        <v>0</v>
      </c>
      <c r="Z83" s="133">
        <f t="shared" si="42"/>
        <v>0</v>
      </c>
      <c r="AA83" s="138">
        <f t="shared" si="43"/>
        <v>0</v>
      </c>
      <c r="AB83" s="137">
        <f t="shared" si="44"/>
        <v>0</v>
      </c>
      <c r="AC83" s="104">
        <f t="shared" si="45"/>
        <v>0</v>
      </c>
      <c r="AD83" s="323">
        <f t="shared" si="48"/>
        <v>0</v>
      </c>
      <c r="AE83" s="325">
        <f t="shared" ref="AE83:AE146" si="49">IF(X83&lt;&gt;0,$H83,0)</f>
        <v>0</v>
      </c>
      <c r="AF83" s="324">
        <f t="shared" ref="AF83:AF146" si="50">IF(Y83&lt;&gt;0,$H83,0)</f>
        <v>0</v>
      </c>
      <c r="AG83" s="104">
        <f t="shared" si="46"/>
        <v>0</v>
      </c>
    </row>
    <row r="84" spans="1:33" x14ac:dyDescent="0.25">
      <c r="A84" s="120">
        <f t="shared" si="47"/>
        <v>82</v>
      </c>
      <c r="B84" s="121"/>
      <c r="C84" s="122"/>
      <c r="D84" s="123"/>
      <c r="E84" s="124"/>
      <c r="F84" s="122"/>
      <c r="G84" s="125"/>
      <c r="H84" s="126">
        <f t="shared" si="32"/>
        <v>0</v>
      </c>
      <c r="I84" s="127">
        <f t="shared" si="31"/>
        <v>0</v>
      </c>
      <c r="J84" s="159"/>
      <c r="K84" s="181" t="str">
        <f t="shared" si="28"/>
        <v>W4+Wherry</v>
      </c>
      <c r="L84" s="182" t="s">
        <v>341</v>
      </c>
      <c r="M84" s="146" t="s">
        <v>199</v>
      </c>
      <c r="N84" s="180">
        <v>15100</v>
      </c>
      <c r="O84" s="185"/>
      <c r="P84" s="153"/>
      <c r="Q84" s="133">
        <f t="shared" si="33"/>
        <v>0</v>
      </c>
      <c r="R84" s="134">
        <f t="shared" si="34"/>
        <v>0</v>
      </c>
      <c r="S84" s="135" t="str">
        <f t="shared" si="35"/>
        <v>-</v>
      </c>
      <c r="T84" s="136" t="str">
        <f t="shared" si="36"/>
        <v>-</v>
      </c>
      <c r="U84" s="134">
        <f t="shared" si="37"/>
        <v>0</v>
      </c>
      <c r="V84" s="137">
        <f t="shared" si="38"/>
        <v>0</v>
      </c>
      <c r="W84" s="133">
        <f t="shared" si="39"/>
        <v>0</v>
      </c>
      <c r="X84" s="134">
        <f t="shared" si="40"/>
        <v>0</v>
      </c>
      <c r="Y84" s="137">
        <f t="shared" si="41"/>
        <v>0</v>
      </c>
      <c r="Z84" s="133">
        <f t="shared" si="42"/>
        <v>0</v>
      </c>
      <c r="AA84" s="138">
        <f t="shared" si="43"/>
        <v>0</v>
      </c>
      <c r="AB84" s="137">
        <f t="shared" si="44"/>
        <v>0</v>
      </c>
      <c r="AC84" s="104">
        <f t="shared" si="45"/>
        <v>0</v>
      </c>
      <c r="AD84" s="323">
        <f t="shared" si="48"/>
        <v>0</v>
      </c>
      <c r="AE84" s="325">
        <f t="shared" si="49"/>
        <v>0</v>
      </c>
      <c r="AF84" s="324">
        <f t="shared" si="50"/>
        <v>0</v>
      </c>
      <c r="AG84" s="104">
        <f t="shared" si="46"/>
        <v>0</v>
      </c>
    </row>
    <row r="85" spans="1:33" x14ac:dyDescent="0.25">
      <c r="A85" s="120">
        <f t="shared" si="47"/>
        <v>83</v>
      </c>
      <c r="B85" s="121"/>
      <c r="C85" s="122"/>
      <c r="D85" s="123"/>
      <c r="E85" s="124"/>
      <c r="F85" s="122"/>
      <c r="G85" s="125"/>
      <c r="H85" s="126">
        <f t="shared" si="32"/>
        <v>0</v>
      </c>
      <c r="I85" s="127">
        <f t="shared" ref="I85:I116" si="51">IF($E85&lt;&gt;0,$E85+levensduur,0)</f>
        <v>0</v>
      </c>
      <c r="J85" s="159"/>
      <c r="K85" s="181" t="str">
        <f t="shared" si="28"/>
        <v>W2x+Wherry</v>
      </c>
      <c r="L85" s="182" t="s">
        <v>258</v>
      </c>
      <c r="M85" s="146" t="s">
        <v>199</v>
      </c>
      <c r="N85" s="180">
        <v>12920</v>
      </c>
      <c r="O85" s="185"/>
      <c r="P85" s="153"/>
      <c r="Q85" s="133">
        <f t="shared" si="33"/>
        <v>0</v>
      </c>
      <c r="R85" s="134">
        <f t="shared" si="34"/>
        <v>0</v>
      </c>
      <c r="S85" s="135" t="str">
        <f t="shared" si="35"/>
        <v>-</v>
      </c>
      <c r="T85" s="136" t="str">
        <f t="shared" si="36"/>
        <v>-</v>
      </c>
      <c r="U85" s="134">
        <f t="shared" si="37"/>
        <v>0</v>
      </c>
      <c r="V85" s="137">
        <f t="shared" si="38"/>
        <v>0</v>
      </c>
      <c r="W85" s="133">
        <f t="shared" si="39"/>
        <v>0</v>
      </c>
      <c r="X85" s="134">
        <f t="shared" si="40"/>
        <v>0</v>
      </c>
      <c r="Y85" s="137">
        <f t="shared" si="41"/>
        <v>0</v>
      </c>
      <c r="Z85" s="133">
        <f t="shared" si="42"/>
        <v>0</v>
      </c>
      <c r="AA85" s="138">
        <f t="shared" si="43"/>
        <v>0</v>
      </c>
      <c r="AB85" s="137">
        <f t="shared" si="44"/>
        <v>0</v>
      </c>
      <c r="AC85" s="104">
        <f t="shared" si="45"/>
        <v>0</v>
      </c>
      <c r="AD85" s="323">
        <f t="shared" si="48"/>
        <v>0</v>
      </c>
      <c r="AE85" s="325">
        <f t="shared" si="49"/>
        <v>0</v>
      </c>
      <c r="AF85" s="324">
        <f t="shared" si="50"/>
        <v>0</v>
      </c>
      <c r="AG85" s="104">
        <f t="shared" si="46"/>
        <v>0</v>
      </c>
    </row>
    <row r="86" spans="1:33" x14ac:dyDescent="0.25">
      <c r="A86" s="120">
        <f t="shared" si="47"/>
        <v>84</v>
      </c>
      <c r="B86" s="121"/>
      <c r="C86" s="122"/>
      <c r="D86" s="123"/>
      <c r="E86" s="124"/>
      <c r="F86" s="122"/>
      <c r="G86" s="125"/>
      <c r="H86" s="126">
        <f t="shared" si="32"/>
        <v>0</v>
      </c>
      <c r="I86" s="127">
        <f t="shared" si="51"/>
        <v>0</v>
      </c>
      <c r="J86" s="159"/>
      <c r="K86" s="181" t="str">
        <f t="shared" si="28"/>
        <v>W2+Wherry</v>
      </c>
      <c r="L86" s="182" t="s">
        <v>342</v>
      </c>
      <c r="M86" s="146" t="s">
        <v>199</v>
      </c>
      <c r="N86" s="180">
        <v>10200</v>
      </c>
      <c r="O86" s="185"/>
      <c r="P86" s="153"/>
      <c r="Q86" s="133">
        <f t="shared" si="33"/>
        <v>0</v>
      </c>
      <c r="R86" s="134">
        <f t="shared" si="34"/>
        <v>0</v>
      </c>
      <c r="S86" s="135" t="str">
        <f t="shared" si="35"/>
        <v>-</v>
      </c>
      <c r="T86" s="136" t="str">
        <f t="shared" si="36"/>
        <v>-</v>
      </c>
      <c r="U86" s="134">
        <f t="shared" si="37"/>
        <v>0</v>
      </c>
      <c r="V86" s="137">
        <f t="shared" si="38"/>
        <v>0</v>
      </c>
      <c r="W86" s="133">
        <f t="shared" si="39"/>
        <v>0</v>
      </c>
      <c r="X86" s="134">
        <f t="shared" si="40"/>
        <v>0</v>
      </c>
      <c r="Y86" s="137">
        <f t="shared" si="41"/>
        <v>0</v>
      </c>
      <c r="Z86" s="133">
        <f t="shared" si="42"/>
        <v>0</v>
      </c>
      <c r="AA86" s="138">
        <f t="shared" si="43"/>
        <v>0</v>
      </c>
      <c r="AB86" s="137">
        <f t="shared" si="44"/>
        <v>0</v>
      </c>
      <c r="AC86" s="104">
        <f t="shared" si="45"/>
        <v>0</v>
      </c>
      <c r="AD86" s="323">
        <f t="shared" si="48"/>
        <v>0</v>
      </c>
      <c r="AE86" s="325">
        <f t="shared" si="49"/>
        <v>0</v>
      </c>
      <c r="AF86" s="324">
        <f t="shared" si="50"/>
        <v>0</v>
      </c>
      <c r="AG86" s="104">
        <f t="shared" si="46"/>
        <v>0</v>
      </c>
    </row>
    <row r="87" spans="1:33" x14ac:dyDescent="0.25">
      <c r="A87" s="120">
        <f t="shared" si="47"/>
        <v>85</v>
      </c>
      <c r="B87" s="121"/>
      <c r="C87" s="122"/>
      <c r="D87" s="123"/>
      <c r="E87" s="124"/>
      <c r="F87" s="122"/>
      <c r="G87" s="125"/>
      <c r="H87" s="126">
        <f t="shared" si="32"/>
        <v>0</v>
      </c>
      <c r="I87" s="127">
        <f t="shared" si="51"/>
        <v>0</v>
      </c>
      <c r="J87" s="159"/>
      <c r="K87" s="181" t="str">
        <f t="shared" si="28"/>
        <v>W1x+Wherry</v>
      </c>
      <c r="L87" s="182" t="s">
        <v>280</v>
      </c>
      <c r="M87" s="146" t="s">
        <v>199</v>
      </c>
      <c r="N87" s="180">
        <v>9460</v>
      </c>
      <c r="O87" s="185"/>
      <c r="P87" s="153"/>
      <c r="Q87" s="133">
        <f t="shared" si="33"/>
        <v>0</v>
      </c>
      <c r="R87" s="134">
        <f t="shared" si="34"/>
        <v>0</v>
      </c>
      <c r="S87" s="135" t="str">
        <f t="shared" si="35"/>
        <v>-</v>
      </c>
      <c r="T87" s="136" t="str">
        <f t="shared" si="36"/>
        <v>-</v>
      </c>
      <c r="U87" s="134">
        <f t="shared" si="37"/>
        <v>0</v>
      </c>
      <c r="V87" s="137">
        <f t="shared" si="38"/>
        <v>0</v>
      </c>
      <c r="W87" s="133">
        <f t="shared" si="39"/>
        <v>0</v>
      </c>
      <c r="X87" s="134">
        <f t="shared" si="40"/>
        <v>0</v>
      </c>
      <c r="Y87" s="137">
        <f t="shared" si="41"/>
        <v>0</v>
      </c>
      <c r="Z87" s="133">
        <f t="shared" si="42"/>
        <v>0</v>
      </c>
      <c r="AA87" s="138">
        <f t="shared" si="43"/>
        <v>0</v>
      </c>
      <c r="AB87" s="137">
        <f t="shared" si="44"/>
        <v>0</v>
      </c>
      <c r="AC87" s="104">
        <f t="shared" si="45"/>
        <v>0</v>
      </c>
      <c r="AD87" s="323">
        <f t="shared" si="48"/>
        <v>0</v>
      </c>
      <c r="AE87" s="325">
        <f t="shared" si="49"/>
        <v>0</v>
      </c>
      <c r="AF87" s="324">
        <f t="shared" si="50"/>
        <v>0</v>
      </c>
      <c r="AG87" s="104">
        <f t="shared" si="46"/>
        <v>0</v>
      </c>
    </row>
    <row r="88" spans="1:33" x14ac:dyDescent="0.25">
      <c r="A88" s="120">
        <f t="shared" si="47"/>
        <v>86</v>
      </c>
      <c r="B88" s="121"/>
      <c r="C88" s="122"/>
      <c r="D88" s="123"/>
      <c r="E88" s="124"/>
      <c r="F88" s="122"/>
      <c r="G88" s="125"/>
      <c r="H88" s="126">
        <f t="shared" si="32"/>
        <v>0</v>
      </c>
      <c r="I88" s="127">
        <f t="shared" si="51"/>
        <v>0</v>
      </c>
      <c r="J88" s="159"/>
      <c r="K88" s="181" t="str">
        <f t="shared" si="28"/>
        <v>O4+Overnaads</v>
      </c>
      <c r="L88" s="182" t="s">
        <v>343</v>
      </c>
      <c r="M88" s="146" t="s">
        <v>344</v>
      </c>
      <c r="N88" s="180">
        <v>100</v>
      </c>
      <c r="O88" s="185"/>
      <c r="P88" s="153"/>
      <c r="Q88" s="133">
        <f t="shared" si="33"/>
        <v>0</v>
      </c>
      <c r="R88" s="134">
        <f t="shared" si="34"/>
        <v>0</v>
      </c>
      <c r="S88" s="135" t="str">
        <f t="shared" si="35"/>
        <v>-</v>
      </c>
      <c r="T88" s="136" t="str">
        <f t="shared" si="36"/>
        <v>-</v>
      </c>
      <c r="U88" s="134">
        <f t="shared" si="37"/>
        <v>0</v>
      </c>
      <c r="V88" s="137">
        <f t="shared" si="38"/>
        <v>0</v>
      </c>
      <c r="W88" s="133">
        <f t="shared" si="39"/>
        <v>0</v>
      </c>
      <c r="X88" s="134">
        <f t="shared" si="40"/>
        <v>0</v>
      </c>
      <c r="Y88" s="137">
        <f t="shared" si="41"/>
        <v>0</v>
      </c>
      <c r="Z88" s="133">
        <f t="shared" si="42"/>
        <v>0</v>
      </c>
      <c r="AA88" s="138">
        <f t="shared" si="43"/>
        <v>0</v>
      </c>
      <c r="AB88" s="137">
        <f t="shared" si="44"/>
        <v>0</v>
      </c>
      <c r="AC88" s="104">
        <f t="shared" si="45"/>
        <v>0</v>
      </c>
      <c r="AD88" s="323">
        <f t="shared" si="48"/>
        <v>0</v>
      </c>
      <c r="AE88" s="325">
        <f t="shared" si="49"/>
        <v>0</v>
      </c>
      <c r="AF88" s="324">
        <f t="shared" si="50"/>
        <v>0</v>
      </c>
      <c r="AG88" s="104">
        <f t="shared" si="46"/>
        <v>0</v>
      </c>
    </row>
    <row r="89" spans="1:33" x14ac:dyDescent="0.25">
      <c r="A89" s="120">
        <f t="shared" si="47"/>
        <v>87</v>
      </c>
      <c r="B89" s="121"/>
      <c r="C89" s="122"/>
      <c r="D89" s="123"/>
      <c r="E89" s="124"/>
      <c r="F89" s="122"/>
      <c r="G89" s="125"/>
      <c r="H89" s="126">
        <f t="shared" si="32"/>
        <v>0</v>
      </c>
      <c r="I89" s="127">
        <f t="shared" si="51"/>
        <v>0</v>
      </c>
      <c r="J89" s="159"/>
      <c r="K89" s="181" t="str">
        <f t="shared" si="28"/>
        <v>O2+Overnaads</v>
      </c>
      <c r="L89" s="182" t="s">
        <v>345</v>
      </c>
      <c r="M89" s="146" t="s">
        <v>344</v>
      </c>
      <c r="N89" s="180">
        <v>100</v>
      </c>
      <c r="O89" s="185"/>
      <c r="P89" s="153"/>
      <c r="Q89" s="133">
        <f t="shared" si="33"/>
        <v>0</v>
      </c>
      <c r="R89" s="134">
        <f t="shared" si="34"/>
        <v>0</v>
      </c>
      <c r="S89" s="135" t="str">
        <f t="shared" si="35"/>
        <v>-</v>
      </c>
      <c r="T89" s="136" t="str">
        <f t="shared" si="36"/>
        <v>-</v>
      </c>
      <c r="U89" s="134">
        <f t="shared" si="37"/>
        <v>0</v>
      </c>
      <c r="V89" s="137">
        <f t="shared" si="38"/>
        <v>0</v>
      </c>
      <c r="W89" s="133">
        <f t="shared" si="39"/>
        <v>0</v>
      </c>
      <c r="X89" s="134">
        <f t="shared" si="40"/>
        <v>0</v>
      </c>
      <c r="Y89" s="137">
        <f t="shared" si="41"/>
        <v>0</v>
      </c>
      <c r="Z89" s="133">
        <f t="shared" si="42"/>
        <v>0</v>
      </c>
      <c r="AA89" s="138">
        <f t="shared" si="43"/>
        <v>0</v>
      </c>
      <c r="AB89" s="137">
        <f t="shared" si="44"/>
        <v>0</v>
      </c>
      <c r="AC89" s="104">
        <f t="shared" si="45"/>
        <v>0</v>
      </c>
      <c r="AD89" s="323">
        <f t="shared" si="48"/>
        <v>0</v>
      </c>
      <c r="AE89" s="325">
        <f t="shared" si="49"/>
        <v>0</v>
      </c>
      <c r="AF89" s="324">
        <f t="shared" si="50"/>
        <v>0</v>
      </c>
      <c r="AG89" s="104">
        <f t="shared" si="46"/>
        <v>0</v>
      </c>
    </row>
    <row r="90" spans="1:33" x14ac:dyDescent="0.25">
      <c r="A90" s="120">
        <f t="shared" si="47"/>
        <v>88</v>
      </c>
      <c r="B90" s="121"/>
      <c r="C90" s="122"/>
      <c r="D90" s="123"/>
      <c r="E90" s="124"/>
      <c r="F90" s="122"/>
      <c r="G90" s="125"/>
      <c r="H90" s="126">
        <f t="shared" si="32"/>
        <v>0</v>
      </c>
      <c r="I90" s="127">
        <f t="shared" si="51"/>
        <v>0</v>
      </c>
      <c r="J90" s="159"/>
      <c r="K90" s="181" t="str">
        <f t="shared" si="28"/>
        <v>B4+B-boot</v>
      </c>
      <c r="L90" s="182" t="s">
        <v>346</v>
      </c>
      <c r="M90" s="146" t="s">
        <v>347</v>
      </c>
      <c r="N90" s="180">
        <v>11300</v>
      </c>
      <c r="O90" s="185"/>
      <c r="P90" s="153"/>
      <c r="Q90" s="133">
        <f t="shared" si="33"/>
        <v>0</v>
      </c>
      <c r="R90" s="134">
        <f t="shared" si="34"/>
        <v>0</v>
      </c>
      <c r="S90" s="135" t="str">
        <f t="shared" si="35"/>
        <v>-</v>
      </c>
      <c r="T90" s="136" t="str">
        <f t="shared" si="36"/>
        <v>-</v>
      </c>
      <c r="U90" s="134">
        <f t="shared" si="37"/>
        <v>0</v>
      </c>
      <c r="V90" s="137">
        <f t="shared" si="38"/>
        <v>0</v>
      </c>
      <c r="W90" s="133">
        <f t="shared" si="39"/>
        <v>0</v>
      </c>
      <c r="X90" s="134">
        <f t="shared" si="40"/>
        <v>0</v>
      </c>
      <c r="Y90" s="137">
        <f t="shared" si="41"/>
        <v>0</v>
      </c>
      <c r="Z90" s="133">
        <f t="shared" si="42"/>
        <v>0</v>
      </c>
      <c r="AA90" s="138">
        <f t="shared" si="43"/>
        <v>0</v>
      </c>
      <c r="AB90" s="137">
        <f t="shared" si="44"/>
        <v>0</v>
      </c>
      <c r="AC90" s="104">
        <f t="shared" si="45"/>
        <v>0</v>
      </c>
      <c r="AD90" s="323">
        <f t="shared" si="48"/>
        <v>0</v>
      </c>
      <c r="AE90" s="325">
        <f t="shared" si="49"/>
        <v>0</v>
      </c>
      <c r="AF90" s="324">
        <f t="shared" si="50"/>
        <v>0</v>
      </c>
      <c r="AG90" s="104">
        <f t="shared" si="46"/>
        <v>0</v>
      </c>
    </row>
    <row r="91" spans="1:33" x14ac:dyDescent="0.25">
      <c r="A91" s="120">
        <f t="shared" si="47"/>
        <v>89</v>
      </c>
      <c r="B91" s="121"/>
      <c r="C91" s="122"/>
      <c r="D91" s="123"/>
      <c r="E91" s="124"/>
      <c r="F91" s="122"/>
      <c r="G91" s="125"/>
      <c r="H91" s="126">
        <f t="shared" si="32"/>
        <v>0</v>
      </c>
      <c r="I91" s="127">
        <f t="shared" si="51"/>
        <v>0</v>
      </c>
      <c r="J91" s="159"/>
      <c r="K91" s="181" t="str">
        <f t="shared" si="28"/>
        <v>W1x+Wherry</v>
      </c>
      <c r="L91" s="182" t="s">
        <v>280</v>
      </c>
      <c r="M91" s="146" t="s">
        <v>199</v>
      </c>
      <c r="N91" s="180">
        <v>9400</v>
      </c>
      <c r="O91" s="185"/>
      <c r="P91" s="153"/>
      <c r="Q91" s="133">
        <f t="shared" si="33"/>
        <v>0</v>
      </c>
      <c r="R91" s="134">
        <f t="shared" si="34"/>
        <v>0</v>
      </c>
      <c r="S91" s="135" t="str">
        <f t="shared" si="35"/>
        <v>-</v>
      </c>
      <c r="T91" s="136" t="str">
        <f t="shared" si="36"/>
        <v>-</v>
      </c>
      <c r="U91" s="134">
        <f t="shared" si="37"/>
        <v>0</v>
      </c>
      <c r="V91" s="137">
        <f t="shared" si="38"/>
        <v>0</v>
      </c>
      <c r="W91" s="133">
        <f t="shared" si="39"/>
        <v>0</v>
      </c>
      <c r="X91" s="134">
        <f t="shared" si="40"/>
        <v>0</v>
      </c>
      <c r="Y91" s="137">
        <f t="shared" si="41"/>
        <v>0</v>
      </c>
      <c r="Z91" s="133">
        <f t="shared" si="42"/>
        <v>0</v>
      </c>
      <c r="AA91" s="138">
        <f t="shared" si="43"/>
        <v>0</v>
      </c>
      <c r="AB91" s="137">
        <f t="shared" si="44"/>
        <v>0</v>
      </c>
      <c r="AC91" s="104">
        <f t="shared" si="45"/>
        <v>0</v>
      </c>
      <c r="AD91" s="323">
        <f t="shared" si="48"/>
        <v>0</v>
      </c>
      <c r="AE91" s="325">
        <f t="shared" si="49"/>
        <v>0</v>
      </c>
      <c r="AF91" s="324">
        <f t="shared" si="50"/>
        <v>0</v>
      </c>
      <c r="AG91" s="104">
        <f t="shared" si="46"/>
        <v>0</v>
      </c>
    </row>
    <row r="92" spans="1:33" x14ac:dyDescent="0.25">
      <c r="A92" s="120">
        <f t="shared" si="47"/>
        <v>90</v>
      </c>
      <c r="B92" s="121"/>
      <c r="C92" s="122"/>
      <c r="D92" s="123"/>
      <c r="E92" s="124"/>
      <c r="F92" s="122"/>
      <c r="G92" s="125"/>
      <c r="H92" s="126">
        <f t="shared" si="32"/>
        <v>0</v>
      </c>
      <c r="I92" s="127">
        <f t="shared" si="51"/>
        <v>0</v>
      </c>
      <c r="J92" s="159"/>
      <c r="K92" s="181" t="str">
        <f t="shared" si="28"/>
        <v/>
      </c>
      <c r="L92" s="182"/>
      <c r="M92" s="146"/>
      <c r="N92" s="180"/>
      <c r="O92" s="185"/>
      <c r="P92" s="153"/>
      <c r="Q92" s="133">
        <f t="shared" si="33"/>
        <v>0</v>
      </c>
      <c r="R92" s="134">
        <f t="shared" si="34"/>
        <v>0</v>
      </c>
      <c r="S92" s="135" t="str">
        <f t="shared" si="35"/>
        <v>-</v>
      </c>
      <c r="T92" s="136" t="str">
        <f t="shared" si="36"/>
        <v>-</v>
      </c>
      <c r="U92" s="134">
        <f t="shared" si="37"/>
        <v>0</v>
      </c>
      <c r="V92" s="137">
        <f t="shared" si="38"/>
        <v>0</v>
      </c>
      <c r="W92" s="133">
        <f t="shared" si="39"/>
        <v>0</v>
      </c>
      <c r="X92" s="134">
        <f t="shared" si="40"/>
        <v>0</v>
      </c>
      <c r="Y92" s="137">
        <f t="shared" si="41"/>
        <v>0</v>
      </c>
      <c r="Z92" s="133">
        <f t="shared" si="42"/>
        <v>0</v>
      </c>
      <c r="AA92" s="138">
        <f t="shared" si="43"/>
        <v>0</v>
      </c>
      <c r="AB92" s="137">
        <f t="shared" si="44"/>
        <v>0</v>
      </c>
      <c r="AC92" s="104">
        <f t="shared" si="45"/>
        <v>0</v>
      </c>
      <c r="AD92" s="323">
        <f t="shared" si="48"/>
        <v>0</v>
      </c>
      <c r="AE92" s="325">
        <f t="shared" si="49"/>
        <v>0</v>
      </c>
      <c r="AF92" s="324">
        <f t="shared" si="50"/>
        <v>0</v>
      </c>
      <c r="AG92" s="104">
        <f t="shared" si="46"/>
        <v>0</v>
      </c>
    </row>
    <row r="93" spans="1:33" x14ac:dyDescent="0.25">
      <c r="A93" s="120">
        <f t="shared" si="47"/>
        <v>91</v>
      </c>
      <c r="B93" s="121"/>
      <c r="C93" s="122"/>
      <c r="D93" s="123"/>
      <c r="E93" s="124"/>
      <c r="F93" s="122"/>
      <c r="G93" s="125"/>
      <c r="H93" s="126">
        <f t="shared" si="32"/>
        <v>0</v>
      </c>
      <c r="I93" s="127">
        <f t="shared" si="51"/>
        <v>0</v>
      </c>
      <c r="J93" s="159"/>
      <c r="K93" s="181" t="str">
        <f t="shared" si="28"/>
        <v/>
      </c>
      <c r="L93" s="182"/>
      <c r="M93" s="146"/>
      <c r="N93" s="180"/>
      <c r="O93" s="185"/>
      <c r="P93" s="153"/>
      <c r="Q93" s="133">
        <f t="shared" si="33"/>
        <v>0</v>
      </c>
      <c r="R93" s="134">
        <f t="shared" si="34"/>
        <v>0</v>
      </c>
      <c r="S93" s="135" t="str">
        <f t="shared" si="35"/>
        <v>-</v>
      </c>
      <c r="T93" s="136" t="str">
        <f t="shared" si="36"/>
        <v>-</v>
      </c>
      <c r="U93" s="134">
        <f t="shared" si="37"/>
        <v>0</v>
      </c>
      <c r="V93" s="137">
        <f t="shared" si="38"/>
        <v>0</v>
      </c>
      <c r="W93" s="133">
        <f t="shared" si="39"/>
        <v>0</v>
      </c>
      <c r="X93" s="134">
        <f t="shared" si="40"/>
        <v>0</v>
      </c>
      <c r="Y93" s="137">
        <f t="shared" si="41"/>
        <v>0</v>
      </c>
      <c r="Z93" s="133">
        <f t="shared" si="42"/>
        <v>0</v>
      </c>
      <c r="AA93" s="138">
        <f t="shared" si="43"/>
        <v>0</v>
      </c>
      <c r="AB93" s="137">
        <f t="shared" si="44"/>
        <v>0</v>
      </c>
      <c r="AC93" s="104">
        <f t="shared" si="45"/>
        <v>0</v>
      </c>
      <c r="AD93" s="323">
        <f t="shared" si="48"/>
        <v>0</v>
      </c>
      <c r="AE93" s="325">
        <f t="shared" si="49"/>
        <v>0</v>
      </c>
      <c r="AF93" s="324">
        <f t="shared" si="50"/>
        <v>0</v>
      </c>
      <c r="AG93" s="104">
        <f t="shared" si="46"/>
        <v>0</v>
      </c>
    </row>
    <row r="94" spans="1:33" x14ac:dyDescent="0.25">
      <c r="A94" s="120">
        <f t="shared" si="47"/>
        <v>92</v>
      </c>
      <c r="B94" s="121"/>
      <c r="C94" s="122"/>
      <c r="D94" s="123"/>
      <c r="E94" s="124"/>
      <c r="F94" s="122"/>
      <c r="G94" s="125"/>
      <c r="H94" s="126">
        <f t="shared" si="32"/>
        <v>0</v>
      </c>
      <c r="I94" s="127">
        <f t="shared" si="51"/>
        <v>0</v>
      </c>
      <c r="J94" s="159"/>
      <c r="K94" s="181" t="str">
        <f t="shared" si="28"/>
        <v/>
      </c>
      <c r="L94" s="182"/>
      <c r="M94" s="146"/>
      <c r="N94" s="180"/>
      <c r="O94" s="185"/>
      <c r="P94" s="153"/>
      <c r="Q94" s="133">
        <f t="shared" si="33"/>
        <v>0</v>
      </c>
      <c r="R94" s="134">
        <f t="shared" si="34"/>
        <v>0</v>
      </c>
      <c r="S94" s="135" t="str">
        <f t="shared" si="35"/>
        <v>-</v>
      </c>
      <c r="T94" s="136" t="str">
        <f t="shared" si="36"/>
        <v>-</v>
      </c>
      <c r="U94" s="134">
        <f t="shared" si="37"/>
        <v>0</v>
      </c>
      <c r="V94" s="137">
        <f t="shared" si="38"/>
        <v>0</v>
      </c>
      <c r="W94" s="133">
        <f t="shared" si="39"/>
        <v>0</v>
      </c>
      <c r="X94" s="134">
        <f t="shared" si="40"/>
        <v>0</v>
      </c>
      <c r="Y94" s="137">
        <f t="shared" si="41"/>
        <v>0</v>
      </c>
      <c r="Z94" s="133">
        <f t="shared" si="42"/>
        <v>0</v>
      </c>
      <c r="AA94" s="138">
        <f t="shared" si="43"/>
        <v>0</v>
      </c>
      <c r="AB94" s="137">
        <f t="shared" si="44"/>
        <v>0</v>
      </c>
      <c r="AC94" s="104">
        <f t="shared" si="45"/>
        <v>0</v>
      </c>
      <c r="AD94" s="323">
        <f t="shared" si="48"/>
        <v>0</v>
      </c>
      <c r="AE94" s="325">
        <f t="shared" si="49"/>
        <v>0</v>
      </c>
      <c r="AF94" s="324">
        <f t="shared" si="50"/>
        <v>0</v>
      </c>
      <c r="AG94" s="104">
        <f t="shared" si="46"/>
        <v>0</v>
      </c>
    </row>
    <row r="95" spans="1:33" x14ac:dyDescent="0.25">
      <c r="A95" s="120">
        <f t="shared" si="47"/>
        <v>93</v>
      </c>
      <c r="B95" s="121"/>
      <c r="C95" s="122"/>
      <c r="D95" s="123"/>
      <c r="E95" s="124"/>
      <c r="F95" s="122"/>
      <c r="G95" s="125"/>
      <c r="H95" s="126">
        <f t="shared" si="32"/>
        <v>0</v>
      </c>
      <c r="I95" s="127">
        <f t="shared" si="51"/>
        <v>0</v>
      </c>
      <c r="J95" s="159"/>
      <c r="K95" s="181" t="str">
        <f t="shared" si="28"/>
        <v/>
      </c>
      <c r="L95" s="182"/>
      <c r="M95" s="146"/>
      <c r="N95" s="180"/>
      <c r="O95" s="185"/>
      <c r="P95" s="153"/>
      <c r="Q95" s="133">
        <f t="shared" si="33"/>
        <v>0</v>
      </c>
      <c r="R95" s="134">
        <f t="shared" si="34"/>
        <v>0</v>
      </c>
      <c r="S95" s="135" t="str">
        <f t="shared" si="35"/>
        <v>-</v>
      </c>
      <c r="T95" s="136" t="str">
        <f t="shared" si="36"/>
        <v>-</v>
      </c>
      <c r="U95" s="134">
        <f t="shared" si="37"/>
        <v>0</v>
      </c>
      <c r="V95" s="137">
        <f t="shared" si="38"/>
        <v>0</v>
      </c>
      <c r="W95" s="133">
        <f t="shared" si="39"/>
        <v>0</v>
      </c>
      <c r="X95" s="134">
        <f t="shared" si="40"/>
        <v>0</v>
      </c>
      <c r="Y95" s="137">
        <f t="shared" si="41"/>
        <v>0</v>
      </c>
      <c r="Z95" s="133">
        <f t="shared" si="42"/>
        <v>0</v>
      </c>
      <c r="AA95" s="138">
        <f t="shared" si="43"/>
        <v>0</v>
      </c>
      <c r="AB95" s="137">
        <f t="shared" si="44"/>
        <v>0</v>
      </c>
      <c r="AC95" s="104">
        <f t="shared" si="45"/>
        <v>0</v>
      </c>
      <c r="AD95" s="323">
        <f t="shared" si="48"/>
        <v>0</v>
      </c>
      <c r="AE95" s="325">
        <f t="shared" si="49"/>
        <v>0</v>
      </c>
      <c r="AF95" s="324">
        <f t="shared" si="50"/>
        <v>0</v>
      </c>
      <c r="AG95" s="104">
        <f t="shared" si="46"/>
        <v>0</v>
      </c>
    </row>
    <row r="96" spans="1:33" x14ac:dyDescent="0.25">
      <c r="A96" s="120">
        <f t="shared" si="47"/>
        <v>94</v>
      </c>
      <c r="B96" s="121"/>
      <c r="C96" s="122"/>
      <c r="D96" s="123"/>
      <c r="E96" s="124"/>
      <c r="F96" s="122"/>
      <c r="G96" s="125"/>
      <c r="H96" s="126">
        <f t="shared" si="32"/>
        <v>0</v>
      </c>
      <c r="I96" s="127">
        <f t="shared" si="51"/>
        <v>0</v>
      </c>
      <c r="J96" s="159"/>
      <c r="K96" s="181" t="str">
        <f t="shared" si="28"/>
        <v/>
      </c>
      <c r="L96" s="182"/>
      <c r="M96" s="146"/>
      <c r="N96" s="180"/>
      <c r="O96" s="185"/>
      <c r="P96" s="153"/>
      <c r="Q96" s="133">
        <f t="shared" si="33"/>
        <v>0</v>
      </c>
      <c r="R96" s="134">
        <f t="shared" si="34"/>
        <v>0</v>
      </c>
      <c r="S96" s="135" t="str">
        <f t="shared" si="35"/>
        <v>-</v>
      </c>
      <c r="T96" s="136" t="str">
        <f t="shared" si="36"/>
        <v>-</v>
      </c>
      <c r="U96" s="134">
        <f t="shared" si="37"/>
        <v>0</v>
      </c>
      <c r="V96" s="137">
        <f t="shared" si="38"/>
        <v>0</v>
      </c>
      <c r="W96" s="133">
        <f t="shared" si="39"/>
        <v>0</v>
      </c>
      <c r="X96" s="134">
        <f t="shared" si="40"/>
        <v>0</v>
      </c>
      <c r="Y96" s="137">
        <f t="shared" si="41"/>
        <v>0</v>
      </c>
      <c r="Z96" s="133">
        <f t="shared" si="42"/>
        <v>0</v>
      </c>
      <c r="AA96" s="138">
        <f t="shared" si="43"/>
        <v>0</v>
      </c>
      <c r="AB96" s="137">
        <f t="shared" si="44"/>
        <v>0</v>
      </c>
      <c r="AC96" s="104">
        <f t="shared" si="45"/>
        <v>0</v>
      </c>
      <c r="AD96" s="323">
        <f t="shared" si="48"/>
        <v>0</v>
      </c>
      <c r="AE96" s="325">
        <f t="shared" si="49"/>
        <v>0</v>
      </c>
      <c r="AF96" s="324">
        <f t="shared" si="50"/>
        <v>0</v>
      </c>
      <c r="AG96" s="104">
        <f t="shared" si="46"/>
        <v>0</v>
      </c>
    </row>
    <row r="97" spans="1:33" x14ac:dyDescent="0.25">
      <c r="A97" s="120">
        <f t="shared" si="47"/>
        <v>95</v>
      </c>
      <c r="B97" s="121"/>
      <c r="C97" s="122"/>
      <c r="D97" s="123"/>
      <c r="E97" s="124"/>
      <c r="F97" s="122"/>
      <c r="G97" s="125"/>
      <c r="H97" s="126">
        <f t="shared" si="32"/>
        <v>0</v>
      </c>
      <c r="I97" s="127">
        <f t="shared" si="51"/>
        <v>0</v>
      </c>
      <c r="J97" s="159"/>
      <c r="K97" s="181" t="str">
        <f t="shared" si="28"/>
        <v/>
      </c>
      <c r="L97" s="182"/>
      <c r="M97" s="146"/>
      <c r="N97" s="180"/>
      <c r="O97" s="185"/>
      <c r="P97" s="153"/>
      <c r="Q97" s="133">
        <f t="shared" si="33"/>
        <v>0</v>
      </c>
      <c r="R97" s="134">
        <f t="shared" si="34"/>
        <v>0</v>
      </c>
      <c r="S97" s="135" t="str">
        <f t="shared" si="35"/>
        <v>-</v>
      </c>
      <c r="T97" s="136" t="str">
        <f t="shared" si="36"/>
        <v>-</v>
      </c>
      <c r="U97" s="134">
        <f t="shared" si="37"/>
        <v>0</v>
      </c>
      <c r="V97" s="137">
        <f t="shared" si="38"/>
        <v>0</v>
      </c>
      <c r="W97" s="133">
        <f t="shared" si="39"/>
        <v>0</v>
      </c>
      <c r="X97" s="134">
        <f t="shared" si="40"/>
        <v>0</v>
      </c>
      <c r="Y97" s="137">
        <f t="shared" si="41"/>
        <v>0</v>
      </c>
      <c r="Z97" s="133">
        <f t="shared" si="42"/>
        <v>0</v>
      </c>
      <c r="AA97" s="138">
        <f t="shared" si="43"/>
        <v>0</v>
      </c>
      <c r="AB97" s="137">
        <f t="shared" si="44"/>
        <v>0</v>
      </c>
      <c r="AC97" s="104">
        <f t="shared" si="45"/>
        <v>0</v>
      </c>
      <c r="AD97" s="323">
        <f t="shared" si="48"/>
        <v>0</v>
      </c>
      <c r="AE97" s="325">
        <f t="shared" si="49"/>
        <v>0</v>
      </c>
      <c r="AF97" s="324">
        <f t="shared" si="50"/>
        <v>0</v>
      </c>
      <c r="AG97" s="104">
        <f t="shared" si="46"/>
        <v>0</v>
      </c>
    </row>
    <row r="98" spans="1:33" x14ac:dyDescent="0.25">
      <c r="A98" s="120">
        <f t="shared" si="47"/>
        <v>96</v>
      </c>
      <c r="B98" s="121"/>
      <c r="C98" s="122"/>
      <c r="D98" s="123"/>
      <c r="E98" s="124"/>
      <c r="F98" s="122"/>
      <c r="G98" s="125"/>
      <c r="H98" s="126">
        <f t="shared" si="32"/>
        <v>0</v>
      </c>
      <c r="I98" s="127">
        <f t="shared" si="51"/>
        <v>0</v>
      </c>
      <c r="J98" s="159"/>
      <c r="K98" s="181" t="str">
        <f t="shared" si="28"/>
        <v/>
      </c>
      <c r="L98" s="182"/>
      <c r="M98" s="146"/>
      <c r="N98" s="180"/>
      <c r="O98" s="185"/>
      <c r="P98" s="153"/>
      <c r="Q98" s="133">
        <f t="shared" si="33"/>
        <v>0</v>
      </c>
      <c r="R98" s="134">
        <f t="shared" si="34"/>
        <v>0</v>
      </c>
      <c r="S98" s="135" t="str">
        <f t="shared" si="35"/>
        <v>-</v>
      </c>
      <c r="T98" s="136" t="str">
        <f t="shared" si="36"/>
        <v>-</v>
      </c>
      <c r="U98" s="134">
        <f t="shared" si="37"/>
        <v>0</v>
      </c>
      <c r="V98" s="137">
        <f t="shared" si="38"/>
        <v>0</v>
      </c>
      <c r="W98" s="133">
        <f t="shared" si="39"/>
        <v>0</v>
      </c>
      <c r="X98" s="134">
        <f t="shared" si="40"/>
        <v>0</v>
      </c>
      <c r="Y98" s="137">
        <f t="shared" si="41"/>
        <v>0</v>
      </c>
      <c r="Z98" s="133">
        <f t="shared" si="42"/>
        <v>0</v>
      </c>
      <c r="AA98" s="138">
        <f t="shared" si="43"/>
        <v>0</v>
      </c>
      <c r="AB98" s="137">
        <f t="shared" si="44"/>
        <v>0</v>
      </c>
      <c r="AC98" s="104">
        <f t="shared" si="45"/>
        <v>0</v>
      </c>
      <c r="AD98" s="323">
        <f t="shared" si="48"/>
        <v>0</v>
      </c>
      <c r="AE98" s="325">
        <f t="shared" si="49"/>
        <v>0</v>
      </c>
      <c r="AF98" s="324">
        <f t="shared" si="50"/>
        <v>0</v>
      </c>
      <c r="AG98" s="104">
        <f t="shared" si="46"/>
        <v>0</v>
      </c>
    </row>
    <row r="99" spans="1:33" x14ac:dyDescent="0.25">
      <c r="A99" s="120">
        <f t="shared" si="47"/>
        <v>97</v>
      </c>
      <c r="B99" s="121"/>
      <c r="C99" s="122"/>
      <c r="D99" s="123"/>
      <c r="E99" s="124"/>
      <c r="F99" s="122"/>
      <c r="G99" s="125"/>
      <c r="H99" s="126">
        <f t="shared" ref="H99:H130" si="52">VLOOKUP($D99&amp;$F99,$K$36:$N$152,4,FALSE)</f>
        <v>0</v>
      </c>
      <c r="I99" s="127">
        <f t="shared" si="51"/>
        <v>0</v>
      </c>
      <c r="J99" s="159"/>
      <c r="K99" s="181" t="str">
        <f t="shared" si="28"/>
        <v/>
      </c>
      <c r="L99" s="182"/>
      <c r="M99" s="146"/>
      <c r="N99" s="180"/>
      <c r="O99" s="185"/>
      <c r="P99" s="153"/>
      <c r="Q99" s="133">
        <f t="shared" si="33"/>
        <v>0</v>
      </c>
      <c r="R99" s="134">
        <f t="shared" si="34"/>
        <v>0</v>
      </c>
      <c r="S99" s="135" t="str">
        <f t="shared" ref="S99:S130" si="53">IF($E99=0,"-",jaar-$E99)</f>
        <v>-</v>
      </c>
      <c r="T99" s="136" t="str">
        <f t="shared" si="36"/>
        <v>-</v>
      </c>
      <c r="U99" s="134">
        <f t="shared" si="37"/>
        <v>0</v>
      </c>
      <c r="V99" s="137">
        <f t="shared" si="38"/>
        <v>0</v>
      </c>
      <c r="W99" s="133">
        <f t="shared" si="39"/>
        <v>0</v>
      </c>
      <c r="X99" s="134">
        <f t="shared" si="40"/>
        <v>0</v>
      </c>
      <c r="Y99" s="137">
        <f t="shared" si="41"/>
        <v>0</v>
      </c>
      <c r="Z99" s="133">
        <f t="shared" si="42"/>
        <v>0</v>
      </c>
      <c r="AA99" s="138">
        <f t="shared" si="43"/>
        <v>0</v>
      </c>
      <c r="AB99" s="137">
        <f t="shared" si="44"/>
        <v>0</v>
      </c>
      <c r="AC99" s="104">
        <f t="shared" si="45"/>
        <v>0</v>
      </c>
      <c r="AD99" s="323">
        <f t="shared" si="48"/>
        <v>0</v>
      </c>
      <c r="AE99" s="325">
        <f t="shared" si="49"/>
        <v>0</v>
      </c>
      <c r="AF99" s="324">
        <f t="shared" si="50"/>
        <v>0</v>
      </c>
      <c r="AG99" s="104">
        <f t="shared" ref="AG99:AG130" si="54">IF(levensduur&lt;&gt;0,(MAX($I99,peiljaar)-(levensduur+$E99+1))/levensduur*$AC99,0)</f>
        <v>0</v>
      </c>
    </row>
    <row r="100" spans="1:33" x14ac:dyDescent="0.25">
      <c r="A100" s="120">
        <f t="shared" si="47"/>
        <v>98</v>
      </c>
      <c r="B100" s="121"/>
      <c r="C100" s="122"/>
      <c r="D100" s="123"/>
      <c r="E100" s="124"/>
      <c r="F100" s="122"/>
      <c r="G100" s="125"/>
      <c r="H100" s="126">
        <f t="shared" si="52"/>
        <v>0</v>
      </c>
      <c r="I100" s="127">
        <f t="shared" si="51"/>
        <v>0</v>
      </c>
      <c r="J100" s="159"/>
      <c r="K100" s="181" t="str">
        <f t="shared" si="28"/>
        <v/>
      </c>
      <c r="L100" s="182"/>
      <c r="M100" s="146"/>
      <c r="N100" s="180"/>
      <c r="O100" s="185"/>
      <c r="P100" s="153"/>
      <c r="Q100" s="133">
        <f t="shared" si="33"/>
        <v>0</v>
      </c>
      <c r="R100" s="134">
        <f t="shared" si="34"/>
        <v>0</v>
      </c>
      <c r="S100" s="135" t="str">
        <f t="shared" si="53"/>
        <v>-</v>
      </c>
      <c r="T100" s="136" t="str">
        <f t="shared" si="36"/>
        <v>-</v>
      </c>
      <c r="U100" s="134">
        <f t="shared" si="37"/>
        <v>0</v>
      </c>
      <c r="V100" s="137">
        <f t="shared" si="38"/>
        <v>0</v>
      </c>
      <c r="W100" s="133">
        <f t="shared" si="39"/>
        <v>0</v>
      </c>
      <c r="X100" s="134">
        <f t="shared" si="40"/>
        <v>0</v>
      </c>
      <c r="Y100" s="137">
        <f t="shared" si="41"/>
        <v>0</v>
      </c>
      <c r="Z100" s="133">
        <f t="shared" si="42"/>
        <v>0</v>
      </c>
      <c r="AA100" s="138">
        <f t="shared" si="43"/>
        <v>0</v>
      </c>
      <c r="AB100" s="137">
        <f t="shared" si="44"/>
        <v>0</v>
      </c>
      <c r="AC100" s="104">
        <f t="shared" si="45"/>
        <v>0</v>
      </c>
      <c r="AD100" s="323">
        <f t="shared" si="48"/>
        <v>0</v>
      </c>
      <c r="AE100" s="325">
        <f t="shared" si="49"/>
        <v>0</v>
      </c>
      <c r="AF100" s="324">
        <f t="shared" si="50"/>
        <v>0</v>
      </c>
      <c r="AG100" s="104">
        <f t="shared" si="54"/>
        <v>0</v>
      </c>
    </row>
    <row r="101" spans="1:33" x14ac:dyDescent="0.25">
      <c r="A101" s="120">
        <f t="shared" si="47"/>
        <v>99</v>
      </c>
      <c r="B101" s="121"/>
      <c r="C101" s="122"/>
      <c r="D101" s="123"/>
      <c r="E101" s="124"/>
      <c r="F101" s="122"/>
      <c r="G101" s="125"/>
      <c r="H101" s="126">
        <f t="shared" si="52"/>
        <v>0</v>
      </c>
      <c r="I101" s="127">
        <f t="shared" si="51"/>
        <v>0</v>
      </c>
      <c r="J101" s="159"/>
      <c r="K101" s="181" t="str">
        <f t="shared" si="28"/>
        <v/>
      </c>
      <c r="L101" s="182"/>
      <c r="M101" s="146"/>
      <c r="N101" s="180"/>
      <c r="O101" s="185"/>
      <c r="P101" s="153"/>
      <c r="Q101" s="133">
        <f t="shared" si="33"/>
        <v>0</v>
      </c>
      <c r="R101" s="134">
        <f t="shared" si="34"/>
        <v>0</v>
      </c>
      <c r="S101" s="135" t="str">
        <f t="shared" si="53"/>
        <v>-</v>
      </c>
      <c r="T101" s="136" t="str">
        <f t="shared" si="36"/>
        <v>-</v>
      </c>
      <c r="U101" s="134">
        <f t="shared" si="37"/>
        <v>0</v>
      </c>
      <c r="V101" s="137">
        <f t="shared" si="38"/>
        <v>0</v>
      </c>
      <c r="W101" s="133">
        <f t="shared" si="39"/>
        <v>0</v>
      </c>
      <c r="X101" s="134">
        <f t="shared" si="40"/>
        <v>0</v>
      </c>
      <c r="Y101" s="137">
        <f t="shared" si="41"/>
        <v>0</v>
      </c>
      <c r="Z101" s="133">
        <f t="shared" si="42"/>
        <v>0</v>
      </c>
      <c r="AA101" s="138">
        <f t="shared" si="43"/>
        <v>0</v>
      </c>
      <c r="AB101" s="137">
        <f t="shared" si="44"/>
        <v>0</v>
      </c>
      <c r="AC101" s="104">
        <f t="shared" si="45"/>
        <v>0</v>
      </c>
      <c r="AD101" s="323">
        <f t="shared" si="48"/>
        <v>0</v>
      </c>
      <c r="AE101" s="325">
        <f t="shared" si="49"/>
        <v>0</v>
      </c>
      <c r="AF101" s="324">
        <f t="shared" si="50"/>
        <v>0</v>
      </c>
      <c r="AG101" s="104">
        <f t="shared" si="54"/>
        <v>0</v>
      </c>
    </row>
    <row r="102" spans="1:33" x14ac:dyDescent="0.25">
      <c r="A102" s="120">
        <f t="shared" si="47"/>
        <v>100</v>
      </c>
      <c r="B102" s="121"/>
      <c r="C102" s="122"/>
      <c r="D102" s="123"/>
      <c r="E102" s="124"/>
      <c r="F102" s="122"/>
      <c r="G102" s="125"/>
      <c r="H102" s="126">
        <f t="shared" si="52"/>
        <v>0</v>
      </c>
      <c r="I102" s="127">
        <f t="shared" si="51"/>
        <v>0</v>
      </c>
      <c r="J102" s="159"/>
      <c r="K102" s="181" t="str">
        <f t="shared" ref="K102:K152" si="55">L102&amp;M102</f>
        <v/>
      </c>
      <c r="L102" s="182"/>
      <c r="M102" s="146"/>
      <c r="N102" s="180"/>
      <c r="O102" s="185"/>
      <c r="P102" s="153"/>
      <c r="Q102" s="133">
        <f t="shared" si="33"/>
        <v>0</v>
      </c>
      <c r="R102" s="134">
        <f t="shared" si="34"/>
        <v>0</v>
      </c>
      <c r="S102" s="135" t="str">
        <f t="shared" si="53"/>
        <v>-</v>
      </c>
      <c r="T102" s="136" t="str">
        <f t="shared" si="36"/>
        <v>-</v>
      </c>
      <c r="U102" s="134">
        <f t="shared" si="37"/>
        <v>0</v>
      </c>
      <c r="V102" s="137">
        <f t="shared" si="38"/>
        <v>0</v>
      </c>
      <c r="W102" s="133">
        <f t="shared" si="39"/>
        <v>0</v>
      </c>
      <c r="X102" s="134">
        <f t="shared" si="40"/>
        <v>0</v>
      </c>
      <c r="Y102" s="137">
        <f t="shared" si="41"/>
        <v>0</v>
      </c>
      <c r="Z102" s="133">
        <f t="shared" si="42"/>
        <v>0</v>
      </c>
      <c r="AA102" s="138">
        <f t="shared" si="43"/>
        <v>0</v>
      </c>
      <c r="AB102" s="137">
        <f t="shared" si="44"/>
        <v>0</v>
      </c>
      <c r="AC102" s="104">
        <f t="shared" si="45"/>
        <v>0</v>
      </c>
      <c r="AD102" s="323">
        <f t="shared" si="48"/>
        <v>0</v>
      </c>
      <c r="AE102" s="325">
        <f t="shared" si="49"/>
        <v>0</v>
      </c>
      <c r="AF102" s="324">
        <f t="shared" si="50"/>
        <v>0</v>
      </c>
      <c r="AG102" s="104">
        <f t="shared" si="54"/>
        <v>0</v>
      </c>
    </row>
    <row r="103" spans="1:33" x14ac:dyDescent="0.25">
      <c r="A103" s="120">
        <f t="shared" si="47"/>
        <v>101</v>
      </c>
      <c r="B103" s="121"/>
      <c r="C103" s="122"/>
      <c r="D103" s="123"/>
      <c r="E103" s="124"/>
      <c r="F103" s="122"/>
      <c r="G103" s="125"/>
      <c r="H103" s="126">
        <f t="shared" si="52"/>
        <v>0</v>
      </c>
      <c r="I103" s="127">
        <f t="shared" si="51"/>
        <v>0</v>
      </c>
      <c r="J103" s="159"/>
      <c r="K103" s="181" t="str">
        <f t="shared" si="55"/>
        <v/>
      </c>
      <c r="L103" s="182"/>
      <c r="M103" s="146"/>
      <c r="N103" s="180"/>
      <c r="O103" s="185"/>
      <c r="P103" s="153"/>
      <c r="Q103" s="133">
        <f t="shared" si="33"/>
        <v>0</v>
      </c>
      <c r="R103" s="134">
        <f t="shared" si="34"/>
        <v>0</v>
      </c>
      <c r="S103" s="135" t="str">
        <f t="shared" si="53"/>
        <v>-</v>
      </c>
      <c r="T103" s="136" t="str">
        <f t="shared" si="36"/>
        <v>-</v>
      </c>
      <c r="U103" s="134">
        <f t="shared" si="37"/>
        <v>0</v>
      </c>
      <c r="V103" s="137">
        <f t="shared" si="38"/>
        <v>0</v>
      </c>
      <c r="W103" s="133">
        <f t="shared" si="39"/>
        <v>0</v>
      </c>
      <c r="X103" s="134">
        <f t="shared" si="40"/>
        <v>0</v>
      </c>
      <c r="Y103" s="137">
        <f t="shared" si="41"/>
        <v>0</v>
      </c>
      <c r="Z103" s="133">
        <f t="shared" si="42"/>
        <v>0</v>
      </c>
      <c r="AA103" s="138">
        <f t="shared" si="43"/>
        <v>0</v>
      </c>
      <c r="AB103" s="137">
        <f t="shared" si="44"/>
        <v>0</v>
      </c>
      <c r="AC103" s="104">
        <f t="shared" si="45"/>
        <v>0</v>
      </c>
      <c r="AD103" s="323">
        <f t="shared" si="48"/>
        <v>0</v>
      </c>
      <c r="AE103" s="325">
        <f t="shared" si="49"/>
        <v>0</v>
      </c>
      <c r="AF103" s="324">
        <f t="shared" si="50"/>
        <v>0</v>
      </c>
      <c r="AG103" s="104">
        <f t="shared" si="54"/>
        <v>0</v>
      </c>
    </row>
    <row r="104" spans="1:33" x14ac:dyDescent="0.25">
      <c r="A104" s="120">
        <f t="shared" si="47"/>
        <v>102</v>
      </c>
      <c r="B104" s="121"/>
      <c r="C104" s="122"/>
      <c r="D104" s="123"/>
      <c r="E104" s="124"/>
      <c r="F104" s="122"/>
      <c r="G104" s="125"/>
      <c r="H104" s="126">
        <f t="shared" si="52"/>
        <v>0</v>
      </c>
      <c r="I104" s="127">
        <f t="shared" si="51"/>
        <v>0</v>
      </c>
      <c r="J104" s="159"/>
      <c r="K104" s="181" t="str">
        <f t="shared" si="55"/>
        <v/>
      </c>
      <c r="L104" s="182"/>
      <c r="M104" s="146"/>
      <c r="N104" s="180"/>
      <c r="O104" s="185"/>
      <c r="P104" s="153"/>
      <c r="Q104" s="133">
        <f t="shared" si="33"/>
        <v>0</v>
      </c>
      <c r="R104" s="134">
        <f t="shared" si="34"/>
        <v>0</v>
      </c>
      <c r="S104" s="135" t="str">
        <f t="shared" si="53"/>
        <v>-</v>
      </c>
      <c r="T104" s="136" t="str">
        <f t="shared" si="36"/>
        <v>-</v>
      </c>
      <c r="U104" s="134">
        <f t="shared" si="37"/>
        <v>0</v>
      </c>
      <c r="V104" s="137">
        <f t="shared" si="38"/>
        <v>0</v>
      </c>
      <c r="W104" s="133">
        <f t="shared" si="39"/>
        <v>0</v>
      </c>
      <c r="X104" s="134">
        <f t="shared" si="40"/>
        <v>0</v>
      </c>
      <c r="Y104" s="137">
        <f t="shared" si="41"/>
        <v>0</v>
      </c>
      <c r="Z104" s="133">
        <f t="shared" si="42"/>
        <v>0</v>
      </c>
      <c r="AA104" s="138">
        <f t="shared" si="43"/>
        <v>0</v>
      </c>
      <c r="AB104" s="137">
        <f t="shared" si="44"/>
        <v>0</v>
      </c>
      <c r="AC104" s="104">
        <f t="shared" si="45"/>
        <v>0</v>
      </c>
      <c r="AD104" s="323">
        <f t="shared" si="48"/>
        <v>0</v>
      </c>
      <c r="AE104" s="325">
        <f t="shared" si="49"/>
        <v>0</v>
      </c>
      <c r="AF104" s="324">
        <f t="shared" si="50"/>
        <v>0</v>
      </c>
      <c r="AG104" s="104">
        <f t="shared" si="54"/>
        <v>0</v>
      </c>
    </row>
    <row r="105" spans="1:33" x14ac:dyDescent="0.25">
      <c r="A105" s="120">
        <f t="shared" si="47"/>
        <v>103</v>
      </c>
      <c r="B105" s="121"/>
      <c r="C105" s="122"/>
      <c r="D105" s="123"/>
      <c r="E105" s="124"/>
      <c r="F105" s="122"/>
      <c r="G105" s="125"/>
      <c r="H105" s="126">
        <f t="shared" si="52"/>
        <v>0</v>
      </c>
      <c r="I105" s="127">
        <f t="shared" si="51"/>
        <v>0</v>
      </c>
      <c r="J105" s="159"/>
      <c r="K105" s="181" t="str">
        <f t="shared" si="55"/>
        <v/>
      </c>
      <c r="L105" s="182"/>
      <c r="M105" s="146"/>
      <c r="N105" s="180"/>
      <c r="O105" s="185"/>
      <c r="P105" s="153"/>
      <c r="Q105" s="133">
        <f t="shared" si="33"/>
        <v>0</v>
      </c>
      <c r="R105" s="134">
        <f t="shared" si="34"/>
        <v>0</v>
      </c>
      <c r="S105" s="135" t="str">
        <f t="shared" si="53"/>
        <v>-</v>
      </c>
      <c r="T105" s="136" t="str">
        <f t="shared" si="36"/>
        <v>-</v>
      </c>
      <c r="U105" s="134">
        <f t="shared" si="37"/>
        <v>0</v>
      </c>
      <c r="V105" s="137">
        <f t="shared" si="38"/>
        <v>0</v>
      </c>
      <c r="W105" s="133">
        <f t="shared" si="39"/>
        <v>0</v>
      </c>
      <c r="X105" s="134">
        <f t="shared" si="40"/>
        <v>0</v>
      </c>
      <c r="Y105" s="137">
        <f t="shared" si="41"/>
        <v>0</v>
      </c>
      <c r="Z105" s="133">
        <f t="shared" si="42"/>
        <v>0</v>
      </c>
      <c r="AA105" s="138">
        <f t="shared" si="43"/>
        <v>0</v>
      </c>
      <c r="AB105" s="137">
        <f t="shared" si="44"/>
        <v>0</v>
      </c>
      <c r="AC105" s="104">
        <f t="shared" si="45"/>
        <v>0</v>
      </c>
      <c r="AD105" s="323">
        <f t="shared" si="48"/>
        <v>0</v>
      </c>
      <c r="AE105" s="325">
        <f t="shared" si="49"/>
        <v>0</v>
      </c>
      <c r="AF105" s="324">
        <f t="shared" si="50"/>
        <v>0</v>
      </c>
      <c r="AG105" s="104">
        <f t="shared" si="54"/>
        <v>0</v>
      </c>
    </row>
    <row r="106" spans="1:33" x14ac:dyDescent="0.25">
      <c r="A106" s="120">
        <f t="shared" si="47"/>
        <v>104</v>
      </c>
      <c r="B106" s="121"/>
      <c r="C106" s="122"/>
      <c r="D106" s="123"/>
      <c r="E106" s="124"/>
      <c r="F106" s="122"/>
      <c r="G106" s="125"/>
      <c r="H106" s="126">
        <f t="shared" si="52"/>
        <v>0</v>
      </c>
      <c r="I106" s="127">
        <f t="shared" si="51"/>
        <v>0</v>
      </c>
      <c r="J106" s="159"/>
      <c r="K106" s="181" t="str">
        <f t="shared" si="55"/>
        <v/>
      </c>
      <c r="L106" s="182"/>
      <c r="M106" s="146"/>
      <c r="N106" s="180"/>
      <c r="O106" s="185"/>
      <c r="P106" s="153"/>
      <c r="Q106" s="133">
        <f t="shared" si="33"/>
        <v>0</v>
      </c>
      <c r="R106" s="134">
        <f t="shared" si="34"/>
        <v>0</v>
      </c>
      <c r="S106" s="135" t="str">
        <f t="shared" si="53"/>
        <v>-</v>
      </c>
      <c r="T106" s="136" t="str">
        <f t="shared" si="36"/>
        <v>-</v>
      </c>
      <c r="U106" s="134">
        <f t="shared" si="37"/>
        <v>0</v>
      </c>
      <c r="V106" s="137">
        <f t="shared" si="38"/>
        <v>0</v>
      </c>
      <c r="W106" s="133">
        <f t="shared" si="39"/>
        <v>0</v>
      </c>
      <c r="X106" s="134">
        <f t="shared" si="40"/>
        <v>0</v>
      </c>
      <c r="Y106" s="137">
        <f t="shared" si="41"/>
        <v>0</v>
      </c>
      <c r="Z106" s="133">
        <f t="shared" si="42"/>
        <v>0</v>
      </c>
      <c r="AA106" s="138">
        <f t="shared" si="43"/>
        <v>0</v>
      </c>
      <c r="AB106" s="137">
        <f t="shared" si="44"/>
        <v>0</v>
      </c>
      <c r="AC106" s="104">
        <f t="shared" si="45"/>
        <v>0</v>
      </c>
      <c r="AD106" s="323">
        <f t="shared" si="48"/>
        <v>0</v>
      </c>
      <c r="AE106" s="325">
        <f t="shared" si="49"/>
        <v>0</v>
      </c>
      <c r="AF106" s="324">
        <f t="shared" si="50"/>
        <v>0</v>
      </c>
      <c r="AG106" s="104">
        <f t="shared" si="54"/>
        <v>0</v>
      </c>
    </row>
    <row r="107" spans="1:33" x14ac:dyDescent="0.25">
      <c r="A107" s="120">
        <f t="shared" si="47"/>
        <v>105</v>
      </c>
      <c r="B107" s="121"/>
      <c r="C107" s="122"/>
      <c r="D107" s="123"/>
      <c r="E107" s="124"/>
      <c r="F107" s="122"/>
      <c r="G107" s="125"/>
      <c r="H107" s="126">
        <f t="shared" si="52"/>
        <v>0</v>
      </c>
      <c r="I107" s="127">
        <f t="shared" si="51"/>
        <v>0</v>
      </c>
      <c r="J107" s="159"/>
      <c r="K107" s="181" t="str">
        <f t="shared" si="55"/>
        <v/>
      </c>
      <c r="L107" s="182"/>
      <c r="M107" s="146"/>
      <c r="N107" s="180"/>
      <c r="O107" s="185"/>
      <c r="P107" s="153"/>
      <c r="Q107" s="133">
        <f t="shared" si="33"/>
        <v>0</v>
      </c>
      <c r="R107" s="134">
        <f t="shared" si="34"/>
        <v>0</v>
      </c>
      <c r="S107" s="135" t="str">
        <f t="shared" si="53"/>
        <v>-</v>
      </c>
      <c r="T107" s="136" t="str">
        <f t="shared" si="36"/>
        <v>-</v>
      </c>
      <c r="U107" s="134">
        <f t="shared" si="37"/>
        <v>0</v>
      </c>
      <c r="V107" s="137">
        <f t="shared" si="38"/>
        <v>0</v>
      </c>
      <c r="W107" s="133">
        <f t="shared" si="39"/>
        <v>0</v>
      </c>
      <c r="X107" s="134">
        <f t="shared" si="40"/>
        <v>0</v>
      </c>
      <c r="Y107" s="137">
        <f t="shared" si="41"/>
        <v>0</v>
      </c>
      <c r="Z107" s="133">
        <f t="shared" si="42"/>
        <v>0</v>
      </c>
      <c r="AA107" s="138">
        <f t="shared" si="43"/>
        <v>0</v>
      </c>
      <c r="AB107" s="137">
        <f t="shared" si="44"/>
        <v>0</v>
      </c>
      <c r="AC107" s="104">
        <f t="shared" si="45"/>
        <v>0</v>
      </c>
      <c r="AD107" s="323">
        <f t="shared" si="48"/>
        <v>0</v>
      </c>
      <c r="AE107" s="325">
        <f t="shared" si="49"/>
        <v>0</v>
      </c>
      <c r="AF107" s="324">
        <f t="shared" si="50"/>
        <v>0</v>
      </c>
      <c r="AG107" s="104">
        <f t="shared" si="54"/>
        <v>0</v>
      </c>
    </row>
    <row r="108" spans="1:33" x14ac:dyDescent="0.25">
      <c r="A108" s="120">
        <f t="shared" si="47"/>
        <v>106</v>
      </c>
      <c r="B108" s="121"/>
      <c r="C108" s="122"/>
      <c r="D108" s="123"/>
      <c r="E108" s="124"/>
      <c r="F108" s="122"/>
      <c r="G108" s="125"/>
      <c r="H108" s="126">
        <f t="shared" si="52"/>
        <v>0</v>
      </c>
      <c r="I108" s="127">
        <f t="shared" si="51"/>
        <v>0</v>
      </c>
      <c r="J108" s="159"/>
      <c r="K108" s="181" t="str">
        <f t="shared" si="55"/>
        <v/>
      </c>
      <c r="L108" s="182"/>
      <c r="M108" s="146"/>
      <c r="N108" s="180"/>
      <c r="O108" s="185"/>
      <c r="P108" s="153"/>
      <c r="Q108" s="133">
        <f t="shared" si="33"/>
        <v>0</v>
      </c>
      <c r="R108" s="134">
        <f t="shared" si="34"/>
        <v>0</v>
      </c>
      <c r="S108" s="135" t="str">
        <f t="shared" si="53"/>
        <v>-</v>
      </c>
      <c r="T108" s="136" t="str">
        <f t="shared" si="36"/>
        <v>-</v>
      </c>
      <c r="U108" s="134">
        <f t="shared" si="37"/>
        <v>0</v>
      </c>
      <c r="V108" s="137">
        <f t="shared" si="38"/>
        <v>0</v>
      </c>
      <c r="W108" s="133">
        <f t="shared" si="39"/>
        <v>0</v>
      </c>
      <c r="X108" s="134">
        <f t="shared" si="40"/>
        <v>0</v>
      </c>
      <c r="Y108" s="137">
        <f t="shared" si="41"/>
        <v>0</v>
      </c>
      <c r="Z108" s="133">
        <f t="shared" si="42"/>
        <v>0</v>
      </c>
      <c r="AA108" s="138">
        <f t="shared" si="43"/>
        <v>0</v>
      </c>
      <c r="AB108" s="137">
        <f t="shared" si="44"/>
        <v>0</v>
      </c>
      <c r="AC108" s="104">
        <f t="shared" si="45"/>
        <v>0</v>
      </c>
      <c r="AD108" s="323">
        <f t="shared" si="48"/>
        <v>0</v>
      </c>
      <c r="AE108" s="325">
        <f t="shared" si="49"/>
        <v>0</v>
      </c>
      <c r="AF108" s="324">
        <f t="shared" si="50"/>
        <v>0</v>
      </c>
      <c r="AG108" s="104">
        <f t="shared" si="54"/>
        <v>0</v>
      </c>
    </row>
    <row r="109" spans="1:33" x14ac:dyDescent="0.25">
      <c r="A109" s="120">
        <f t="shared" si="47"/>
        <v>107</v>
      </c>
      <c r="B109" s="121"/>
      <c r="C109" s="122"/>
      <c r="D109" s="123"/>
      <c r="E109" s="124"/>
      <c r="F109" s="122"/>
      <c r="G109" s="125"/>
      <c r="H109" s="126">
        <f t="shared" si="52"/>
        <v>0</v>
      </c>
      <c r="I109" s="127">
        <f t="shared" si="51"/>
        <v>0</v>
      </c>
      <c r="J109" s="159"/>
      <c r="K109" s="181" t="str">
        <f t="shared" si="55"/>
        <v/>
      </c>
      <c r="L109" s="182"/>
      <c r="M109" s="146"/>
      <c r="N109" s="180"/>
      <c r="O109" s="185"/>
      <c r="P109" s="153"/>
      <c r="Q109" s="133">
        <f t="shared" si="33"/>
        <v>0</v>
      </c>
      <c r="R109" s="134">
        <f t="shared" si="34"/>
        <v>0</v>
      </c>
      <c r="S109" s="135" t="str">
        <f t="shared" si="53"/>
        <v>-</v>
      </c>
      <c r="T109" s="136" t="str">
        <f t="shared" si="36"/>
        <v>-</v>
      </c>
      <c r="U109" s="134">
        <f t="shared" si="37"/>
        <v>0</v>
      </c>
      <c r="V109" s="137">
        <f t="shared" si="38"/>
        <v>0</v>
      </c>
      <c r="W109" s="133">
        <f t="shared" si="39"/>
        <v>0</v>
      </c>
      <c r="X109" s="134">
        <f t="shared" si="40"/>
        <v>0</v>
      </c>
      <c r="Y109" s="137">
        <f t="shared" si="41"/>
        <v>0</v>
      </c>
      <c r="Z109" s="133">
        <f t="shared" si="42"/>
        <v>0</v>
      </c>
      <c r="AA109" s="138">
        <f t="shared" si="43"/>
        <v>0</v>
      </c>
      <c r="AB109" s="137">
        <f t="shared" si="44"/>
        <v>0</v>
      </c>
      <c r="AC109" s="104">
        <f t="shared" si="45"/>
        <v>0</v>
      </c>
      <c r="AD109" s="323">
        <f t="shared" si="48"/>
        <v>0</v>
      </c>
      <c r="AE109" s="325">
        <f t="shared" si="49"/>
        <v>0</v>
      </c>
      <c r="AF109" s="324">
        <f t="shared" si="50"/>
        <v>0</v>
      </c>
      <c r="AG109" s="104">
        <f t="shared" si="54"/>
        <v>0</v>
      </c>
    </row>
    <row r="110" spans="1:33" x14ac:dyDescent="0.25">
      <c r="A110" s="120">
        <f t="shared" si="47"/>
        <v>108</v>
      </c>
      <c r="B110" s="121"/>
      <c r="C110" s="122"/>
      <c r="D110" s="123"/>
      <c r="E110" s="124"/>
      <c r="F110" s="122"/>
      <c r="G110" s="125"/>
      <c r="H110" s="126">
        <f t="shared" si="52"/>
        <v>0</v>
      </c>
      <c r="I110" s="127">
        <f t="shared" si="51"/>
        <v>0</v>
      </c>
      <c r="J110" s="159"/>
      <c r="K110" s="181" t="str">
        <f t="shared" si="55"/>
        <v/>
      </c>
      <c r="L110" s="182"/>
      <c r="M110" s="146"/>
      <c r="N110" s="180"/>
      <c r="O110" s="185"/>
      <c r="P110" s="153"/>
      <c r="Q110" s="133">
        <f t="shared" si="33"/>
        <v>0</v>
      </c>
      <c r="R110" s="134">
        <f t="shared" si="34"/>
        <v>0</v>
      </c>
      <c r="S110" s="135" t="str">
        <f t="shared" si="53"/>
        <v>-</v>
      </c>
      <c r="T110" s="136" t="str">
        <f t="shared" si="36"/>
        <v>-</v>
      </c>
      <c r="U110" s="134">
        <f t="shared" si="37"/>
        <v>0</v>
      </c>
      <c r="V110" s="137">
        <f t="shared" si="38"/>
        <v>0</v>
      </c>
      <c r="W110" s="133">
        <f t="shared" si="39"/>
        <v>0</v>
      </c>
      <c r="X110" s="134">
        <f t="shared" si="40"/>
        <v>0</v>
      </c>
      <c r="Y110" s="137">
        <f t="shared" si="41"/>
        <v>0</v>
      </c>
      <c r="Z110" s="133">
        <f t="shared" si="42"/>
        <v>0</v>
      </c>
      <c r="AA110" s="138">
        <f t="shared" si="43"/>
        <v>0</v>
      </c>
      <c r="AB110" s="137">
        <f t="shared" si="44"/>
        <v>0</v>
      </c>
      <c r="AC110" s="104">
        <f t="shared" si="45"/>
        <v>0</v>
      </c>
      <c r="AD110" s="323">
        <f t="shared" si="48"/>
        <v>0</v>
      </c>
      <c r="AE110" s="325">
        <f t="shared" si="49"/>
        <v>0</v>
      </c>
      <c r="AF110" s="324">
        <f t="shared" si="50"/>
        <v>0</v>
      </c>
      <c r="AG110" s="104">
        <f t="shared" si="54"/>
        <v>0</v>
      </c>
    </row>
    <row r="111" spans="1:33" x14ac:dyDescent="0.25">
      <c r="A111" s="120">
        <f t="shared" si="47"/>
        <v>109</v>
      </c>
      <c r="B111" s="121"/>
      <c r="C111" s="122"/>
      <c r="D111" s="123"/>
      <c r="E111" s="124"/>
      <c r="F111" s="122"/>
      <c r="G111" s="125"/>
      <c r="H111" s="126">
        <f t="shared" si="52"/>
        <v>0</v>
      </c>
      <c r="I111" s="127">
        <f t="shared" si="51"/>
        <v>0</v>
      </c>
      <c r="J111" s="159"/>
      <c r="K111" s="181" t="str">
        <f t="shared" si="55"/>
        <v/>
      </c>
      <c r="L111" s="182"/>
      <c r="M111" s="146"/>
      <c r="N111" s="180"/>
      <c r="O111" s="185"/>
      <c r="P111" s="153"/>
      <c r="Q111" s="133">
        <f t="shared" si="33"/>
        <v>0</v>
      </c>
      <c r="R111" s="134">
        <f t="shared" si="34"/>
        <v>0</v>
      </c>
      <c r="S111" s="135" t="str">
        <f t="shared" si="53"/>
        <v>-</v>
      </c>
      <c r="T111" s="136" t="str">
        <f t="shared" si="36"/>
        <v>-</v>
      </c>
      <c r="U111" s="134">
        <f t="shared" si="37"/>
        <v>0</v>
      </c>
      <c r="V111" s="137">
        <f t="shared" si="38"/>
        <v>0</v>
      </c>
      <c r="W111" s="133">
        <f t="shared" si="39"/>
        <v>0</v>
      </c>
      <c r="X111" s="134">
        <f t="shared" si="40"/>
        <v>0</v>
      </c>
      <c r="Y111" s="137">
        <f t="shared" si="41"/>
        <v>0</v>
      </c>
      <c r="Z111" s="133">
        <f t="shared" si="42"/>
        <v>0</v>
      </c>
      <c r="AA111" s="138">
        <f t="shared" si="43"/>
        <v>0</v>
      </c>
      <c r="AB111" s="137">
        <f t="shared" si="44"/>
        <v>0</v>
      </c>
      <c r="AC111" s="104">
        <f t="shared" si="45"/>
        <v>0</v>
      </c>
      <c r="AD111" s="323">
        <f t="shared" si="48"/>
        <v>0</v>
      </c>
      <c r="AE111" s="325">
        <f t="shared" si="49"/>
        <v>0</v>
      </c>
      <c r="AF111" s="324">
        <f t="shared" si="50"/>
        <v>0</v>
      </c>
      <c r="AG111" s="104">
        <f t="shared" si="54"/>
        <v>0</v>
      </c>
    </row>
    <row r="112" spans="1:33" x14ac:dyDescent="0.25">
      <c r="A112" s="120">
        <f t="shared" si="47"/>
        <v>110</v>
      </c>
      <c r="B112" s="121"/>
      <c r="C112" s="122"/>
      <c r="D112" s="123"/>
      <c r="E112" s="124"/>
      <c r="F112" s="122"/>
      <c r="G112" s="125"/>
      <c r="H112" s="126">
        <f t="shared" si="52"/>
        <v>0</v>
      </c>
      <c r="I112" s="127">
        <f t="shared" si="51"/>
        <v>0</v>
      </c>
      <c r="J112" s="159"/>
      <c r="K112" s="181" t="str">
        <f t="shared" si="55"/>
        <v/>
      </c>
      <c r="L112" s="182"/>
      <c r="M112" s="146"/>
      <c r="N112" s="180"/>
      <c r="O112" s="185"/>
      <c r="P112" s="153"/>
      <c r="Q112" s="133">
        <f t="shared" si="33"/>
        <v>0</v>
      </c>
      <c r="R112" s="134">
        <f t="shared" si="34"/>
        <v>0</v>
      </c>
      <c r="S112" s="135" t="str">
        <f t="shared" si="53"/>
        <v>-</v>
      </c>
      <c r="T112" s="136" t="str">
        <f t="shared" si="36"/>
        <v>-</v>
      </c>
      <c r="U112" s="134">
        <f t="shared" si="37"/>
        <v>0</v>
      </c>
      <c r="V112" s="137">
        <f t="shared" si="38"/>
        <v>0</v>
      </c>
      <c r="W112" s="133">
        <f t="shared" si="39"/>
        <v>0</v>
      </c>
      <c r="X112" s="134">
        <f t="shared" si="40"/>
        <v>0</v>
      </c>
      <c r="Y112" s="137">
        <f t="shared" si="41"/>
        <v>0</v>
      </c>
      <c r="Z112" s="133">
        <f t="shared" si="42"/>
        <v>0</v>
      </c>
      <c r="AA112" s="138">
        <f t="shared" si="43"/>
        <v>0</v>
      </c>
      <c r="AB112" s="137">
        <f t="shared" si="44"/>
        <v>0</v>
      </c>
      <c r="AC112" s="104">
        <f t="shared" si="45"/>
        <v>0</v>
      </c>
      <c r="AD112" s="323">
        <f t="shared" si="48"/>
        <v>0</v>
      </c>
      <c r="AE112" s="325">
        <f t="shared" si="49"/>
        <v>0</v>
      </c>
      <c r="AF112" s="324">
        <f t="shared" si="50"/>
        <v>0</v>
      </c>
      <c r="AG112" s="104">
        <f t="shared" si="54"/>
        <v>0</v>
      </c>
    </row>
    <row r="113" spans="1:33" x14ac:dyDescent="0.25">
      <c r="A113" s="120">
        <f t="shared" si="47"/>
        <v>111</v>
      </c>
      <c r="B113" s="121"/>
      <c r="C113" s="122"/>
      <c r="D113" s="123"/>
      <c r="E113" s="124"/>
      <c r="F113" s="122"/>
      <c r="G113" s="125"/>
      <c r="H113" s="126">
        <f t="shared" si="52"/>
        <v>0</v>
      </c>
      <c r="I113" s="127">
        <f t="shared" si="51"/>
        <v>0</v>
      </c>
      <c r="J113" s="159"/>
      <c r="K113" s="181" t="str">
        <f t="shared" si="55"/>
        <v/>
      </c>
      <c r="L113" s="182"/>
      <c r="M113" s="146"/>
      <c r="N113" s="180"/>
      <c r="O113" s="185"/>
      <c r="P113" s="153"/>
      <c r="Q113" s="133">
        <f t="shared" si="33"/>
        <v>0</v>
      </c>
      <c r="R113" s="134">
        <f t="shared" si="34"/>
        <v>0</v>
      </c>
      <c r="S113" s="135" t="str">
        <f t="shared" si="53"/>
        <v>-</v>
      </c>
      <c r="T113" s="136" t="str">
        <f t="shared" si="36"/>
        <v>-</v>
      </c>
      <c r="U113" s="134">
        <f t="shared" si="37"/>
        <v>0</v>
      </c>
      <c r="V113" s="137">
        <f t="shared" si="38"/>
        <v>0</v>
      </c>
      <c r="W113" s="133">
        <f t="shared" si="39"/>
        <v>0</v>
      </c>
      <c r="X113" s="134">
        <f t="shared" si="40"/>
        <v>0</v>
      </c>
      <c r="Y113" s="137">
        <f t="shared" si="41"/>
        <v>0</v>
      </c>
      <c r="Z113" s="133">
        <f t="shared" si="42"/>
        <v>0</v>
      </c>
      <c r="AA113" s="138">
        <f t="shared" si="43"/>
        <v>0</v>
      </c>
      <c r="AB113" s="137">
        <f t="shared" si="44"/>
        <v>0</v>
      </c>
      <c r="AC113" s="104">
        <f t="shared" si="45"/>
        <v>0</v>
      </c>
      <c r="AD113" s="323">
        <f t="shared" si="48"/>
        <v>0</v>
      </c>
      <c r="AE113" s="325">
        <f t="shared" si="49"/>
        <v>0</v>
      </c>
      <c r="AF113" s="324">
        <f t="shared" si="50"/>
        <v>0</v>
      </c>
      <c r="AG113" s="104">
        <f t="shared" si="54"/>
        <v>0</v>
      </c>
    </row>
    <row r="114" spans="1:33" x14ac:dyDescent="0.25">
      <c r="A114" s="120">
        <f t="shared" si="47"/>
        <v>112</v>
      </c>
      <c r="B114" s="121"/>
      <c r="C114" s="122"/>
      <c r="D114" s="123"/>
      <c r="E114" s="124"/>
      <c r="F114" s="122"/>
      <c r="G114" s="125"/>
      <c r="H114" s="126">
        <f t="shared" si="52"/>
        <v>0</v>
      </c>
      <c r="I114" s="127">
        <f t="shared" si="51"/>
        <v>0</v>
      </c>
      <c r="J114" s="159"/>
      <c r="K114" s="181" t="str">
        <f t="shared" si="55"/>
        <v/>
      </c>
      <c r="L114" s="182"/>
      <c r="M114" s="146"/>
      <c r="N114" s="180"/>
      <c r="O114" s="185"/>
      <c r="P114" s="153"/>
      <c r="Q114" s="133">
        <f t="shared" si="33"/>
        <v>0</v>
      </c>
      <c r="R114" s="134">
        <f t="shared" si="34"/>
        <v>0</v>
      </c>
      <c r="S114" s="135" t="str">
        <f t="shared" si="53"/>
        <v>-</v>
      </c>
      <c r="T114" s="136" t="str">
        <f t="shared" si="36"/>
        <v>-</v>
      </c>
      <c r="U114" s="134">
        <f t="shared" si="37"/>
        <v>0</v>
      </c>
      <c r="V114" s="137">
        <f t="shared" si="38"/>
        <v>0</v>
      </c>
      <c r="W114" s="133">
        <f t="shared" si="39"/>
        <v>0</v>
      </c>
      <c r="X114" s="134">
        <f t="shared" si="40"/>
        <v>0</v>
      </c>
      <c r="Y114" s="137">
        <f t="shared" si="41"/>
        <v>0</v>
      </c>
      <c r="Z114" s="133">
        <f t="shared" si="42"/>
        <v>0</v>
      </c>
      <c r="AA114" s="138">
        <f t="shared" si="43"/>
        <v>0</v>
      </c>
      <c r="AB114" s="137">
        <f t="shared" si="44"/>
        <v>0</v>
      </c>
      <c r="AC114" s="104">
        <f t="shared" si="45"/>
        <v>0</v>
      </c>
      <c r="AD114" s="323">
        <f t="shared" si="48"/>
        <v>0</v>
      </c>
      <c r="AE114" s="325">
        <f t="shared" si="49"/>
        <v>0</v>
      </c>
      <c r="AF114" s="324">
        <f t="shared" si="50"/>
        <v>0</v>
      </c>
      <c r="AG114" s="104">
        <f t="shared" si="54"/>
        <v>0</v>
      </c>
    </row>
    <row r="115" spans="1:33" x14ac:dyDescent="0.25">
      <c r="A115" s="120">
        <f t="shared" si="47"/>
        <v>113</v>
      </c>
      <c r="B115" s="121"/>
      <c r="C115" s="122"/>
      <c r="D115" s="123"/>
      <c r="E115" s="124"/>
      <c r="F115" s="122"/>
      <c r="G115" s="125"/>
      <c r="H115" s="126">
        <f t="shared" si="52"/>
        <v>0</v>
      </c>
      <c r="I115" s="127">
        <f t="shared" si="51"/>
        <v>0</v>
      </c>
      <c r="J115" s="159"/>
      <c r="K115" s="181" t="str">
        <f t="shared" si="55"/>
        <v/>
      </c>
      <c r="L115" s="182"/>
      <c r="M115" s="146"/>
      <c r="N115" s="180"/>
      <c r="O115" s="185"/>
      <c r="P115" s="153"/>
      <c r="Q115" s="133">
        <f t="shared" si="33"/>
        <v>0</v>
      </c>
      <c r="R115" s="134">
        <f t="shared" si="34"/>
        <v>0</v>
      </c>
      <c r="S115" s="135" t="str">
        <f t="shared" si="53"/>
        <v>-</v>
      </c>
      <c r="T115" s="136" t="str">
        <f t="shared" si="36"/>
        <v>-</v>
      </c>
      <c r="U115" s="134">
        <f t="shared" si="37"/>
        <v>0</v>
      </c>
      <c r="V115" s="137">
        <f t="shared" si="38"/>
        <v>0</v>
      </c>
      <c r="W115" s="133">
        <f t="shared" si="39"/>
        <v>0</v>
      </c>
      <c r="X115" s="134">
        <f t="shared" si="40"/>
        <v>0</v>
      </c>
      <c r="Y115" s="137">
        <f t="shared" si="41"/>
        <v>0</v>
      </c>
      <c r="Z115" s="133">
        <f t="shared" si="42"/>
        <v>0</v>
      </c>
      <c r="AA115" s="138">
        <f t="shared" si="43"/>
        <v>0</v>
      </c>
      <c r="AB115" s="137">
        <f t="shared" si="44"/>
        <v>0</v>
      </c>
      <c r="AC115" s="104">
        <f t="shared" si="45"/>
        <v>0</v>
      </c>
      <c r="AD115" s="323">
        <f t="shared" si="48"/>
        <v>0</v>
      </c>
      <c r="AE115" s="325">
        <f t="shared" si="49"/>
        <v>0</v>
      </c>
      <c r="AF115" s="324">
        <f t="shared" si="50"/>
        <v>0</v>
      </c>
      <c r="AG115" s="104">
        <f t="shared" si="54"/>
        <v>0</v>
      </c>
    </row>
    <row r="116" spans="1:33" x14ac:dyDescent="0.25">
      <c r="A116" s="120">
        <f t="shared" si="47"/>
        <v>114</v>
      </c>
      <c r="B116" s="121"/>
      <c r="C116" s="122"/>
      <c r="D116" s="123"/>
      <c r="E116" s="124"/>
      <c r="F116" s="122"/>
      <c r="G116" s="125"/>
      <c r="H116" s="126">
        <f t="shared" si="52"/>
        <v>0</v>
      </c>
      <c r="I116" s="127">
        <f t="shared" si="51"/>
        <v>0</v>
      </c>
      <c r="J116" s="159"/>
      <c r="K116" s="181" t="str">
        <f t="shared" si="55"/>
        <v/>
      </c>
      <c r="L116" s="182"/>
      <c r="M116" s="146"/>
      <c r="N116" s="180"/>
      <c r="O116" s="185"/>
      <c r="P116" s="153"/>
      <c r="Q116" s="133">
        <f t="shared" si="33"/>
        <v>0</v>
      </c>
      <c r="R116" s="134">
        <f t="shared" si="34"/>
        <v>0</v>
      </c>
      <c r="S116" s="135" t="str">
        <f t="shared" si="53"/>
        <v>-</v>
      </c>
      <c r="T116" s="136" t="str">
        <f t="shared" si="36"/>
        <v>-</v>
      </c>
      <c r="U116" s="134">
        <f t="shared" si="37"/>
        <v>0</v>
      </c>
      <c r="V116" s="137">
        <f t="shared" si="38"/>
        <v>0</v>
      </c>
      <c r="W116" s="133">
        <f t="shared" si="39"/>
        <v>0</v>
      </c>
      <c r="X116" s="134">
        <f t="shared" si="40"/>
        <v>0</v>
      </c>
      <c r="Y116" s="137">
        <f t="shared" si="41"/>
        <v>0</v>
      </c>
      <c r="Z116" s="133">
        <f t="shared" si="42"/>
        <v>0</v>
      </c>
      <c r="AA116" s="138">
        <f t="shared" si="43"/>
        <v>0</v>
      </c>
      <c r="AB116" s="137">
        <f t="shared" si="44"/>
        <v>0</v>
      </c>
      <c r="AC116" s="104">
        <f t="shared" si="45"/>
        <v>0</v>
      </c>
      <c r="AD116" s="323">
        <f t="shared" si="48"/>
        <v>0</v>
      </c>
      <c r="AE116" s="325">
        <f t="shared" si="49"/>
        <v>0</v>
      </c>
      <c r="AF116" s="324">
        <f t="shared" si="50"/>
        <v>0</v>
      </c>
      <c r="AG116" s="104">
        <f t="shared" si="54"/>
        <v>0</v>
      </c>
    </row>
    <row r="117" spans="1:33" x14ac:dyDescent="0.25">
      <c r="A117" s="120">
        <f t="shared" si="47"/>
        <v>115</v>
      </c>
      <c r="B117" s="121"/>
      <c r="C117" s="122"/>
      <c r="D117" s="123"/>
      <c r="E117" s="124"/>
      <c r="F117" s="122"/>
      <c r="G117" s="125"/>
      <c r="H117" s="126">
        <f t="shared" si="52"/>
        <v>0</v>
      </c>
      <c r="I117" s="127">
        <f t="shared" ref="I117:I152" si="56">IF($E117&lt;&gt;0,$E117+levensduur,0)</f>
        <v>0</v>
      </c>
      <c r="J117" s="159"/>
      <c r="K117" s="181" t="str">
        <f t="shared" si="55"/>
        <v/>
      </c>
      <c r="L117" s="182"/>
      <c r="M117" s="146"/>
      <c r="N117" s="180"/>
      <c r="O117" s="185"/>
      <c r="P117" s="153"/>
      <c r="Q117" s="133">
        <f t="shared" si="33"/>
        <v>0</v>
      </c>
      <c r="R117" s="134">
        <f t="shared" si="34"/>
        <v>0</v>
      </c>
      <c r="S117" s="135" t="str">
        <f t="shared" si="53"/>
        <v>-</v>
      </c>
      <c r="T117" s="136" t="str">
        <f t="shared" si="36"/>
        <v>-</v>
      </c>
      <c r="U117" s="134">
        <f t="shared" si="37"/>
        <v>0</v>
      </c>
      <c r="V117" s="137">
        <f t="shared" si="38"/>
        <v>0</v>
      </c>
      <c r="W117" s="133">
        <f t="shared" si="39"/>
        <v>0</v>
      </c>
      <c r="X117" s="134">
        <f t="shared" si="40"/>
        <v>0</v>
      </c>
      <c r="Y117" s="137">
        <f t="shared" si="41"/>
        <v>0</v>
      </c>
      <c r="Z117" s="133">
        <f t="shared" si="42"/>
        <v>0</v>
      </c>
      <c r="AA117" s="138">
        <f t="shared" si="43"/>
        <v>0</v>
      </c>
      <c r="AB117" s="137">
        <f t="shared" si="44"/>
        <v>0</v>
      </c>
      <c r="AC117" s="104">
        <f t="shared" si="45"/>
        <v>0</v>
      </c>
      <c r="AD117" s="323">
        <f t="shared" si="48"/>
        <v>0</v>
      </c>
      <c r="AE117" s="325">
        <f t="shared" si="49"/>
        <v>0</v>
      </c>
      <c r="AF117" s="324">
        <f t="shared" si="50"/>
        <v>0</v>
      </c>
      <c r="AG117" s="104">
        <f t="shared" si="54"/>
        <v>0</v>
      </c>
    </row>
    <row r="118" spans="1:33" x14ac:dyDescent="0.25">
      <c r="A118" s="120">
        <f t="shared" si="47"/>
        <v>116</v>
      </c>
      <c r="B118" s="121"/>
      <c r="C118" s="122"/>
      <c r="D118" s="123"/>
      <c r="E118" s="124"/>
      <c r="F118" s="122"/>
      <c r="G118" s="125"/>
      <c r="H118" s="126">
        <f t="shared" si="52"/>
        <v>0</v>
      </c>
      <c r="I118" s="127">
        <f t="shared" si="56"/>
        <v>0</v>
      </c>
      <c r="J118" s="159"/>
      <c r="K118" s="181" t="str">
        <f t="shared" si="55"/>
        <v/>
      </c>
      <c r="L118" s="182"/>
      <c r="M118" s="146"/>
      <c r="N118" s="180"/>
      <c r="O118" s="185"/>
      <c r="P118" s="153"/>
      <c r="Q118" s="133">
        <f t="shared" si="33"/>
        <v>0</v>
      </c>
      <c r="R118" s="134">
        <f t="shared" si="34"/>
        <v>0</v>
      </c>
      <c r="S118" s="135" t="str">
        <f t="shared" si="53"/>
        <v>-</v>
      </c>
      <c r="T118" s="136" t="str">
        <f t="shared" si="36"/>
        <v>-</v>
      </c>
      <c r="U118" s="134">
        <f t="shared" si="37"/>
        <v>0</v>
      </c>
      <c r="V118" s="137">
        <f t="shared" si="38"/>
        <v>0</v>
      </c>
      <c r="W118" s="133">
        <f t="shared" si="39"/>
        <v>0</v>
      </c>
      <c r="X118" s="134">
        <f t="shared" si="40"/>
        <v>0</v>
      </c>
      <c r="Y118" s="137">
        <f t="shared" si="41"/>
        <v>0</v>
      </c>
      <c r="Z118" s="133">
        <f t="shared" si="42"/>
        <v>0</v>
      </c>
      <c r="AA118" s="138">
        <f t="shared" si="43"/>
        <v>0</v>
      </c>
      <c r="AB118" s="137">
        <f t="shared" si="44"/>
        <v>0</v>
      </c>
      <c r="AC118" s="104">
        <f t="shared" si="45"/>
        <v>0</v>
      </c>
      <c r="AD118" s="323">
        <f t="shared" si="48"/>
        <v>0</v>
      </c>
      <c r="AE118" s="325">
        <f t="shared" si="49"/>
        <v>0</v>
      </c>
      <c r="AF118" s="324">
        <f t="shared" si="50"/>
        <v>0</v>
      </c>
      <c r="AG118" s="104">
        <f t="shared" si="54"/>
        <v>0</v>
      </c>
    </row>
    <row r="119" spans="1:33" x14ac:dyDescent="0.25">
      <c r="A119" s="120">
        <f t="shared" si="47"/>
        <v>117</v>
      </c>
      <c r="B119" s="121"/>
      <c r="C119" s="122"/>
      <c r="D119" s="123"/>
      <c r="E119" s="124"/>
      <c r="F119" s="122"/>
      <c r="G119" s="125"/>
      <c r="H119" s="126">
        <f t="shared" si="52"/>
        <v>0</v>
      </c>
      <c r="I119" s="127">
        <f t="shared" si="56"/>
        <v>0</v>
      </c>
      <c r="J119" s="159"/>
      <c r="K119" s="181" t="str">
        <f t="shared" si="55"/>
        <v/>
      </c>
      <c r="L119" s="182"/>
      <c r="M119" s="146"/>
      <c r="N119" s="180"/>
      <c r="O119" s="185"/>
      <c r="P119" s="153"/>
      <c r="Q119" s="133">
        <f t="shared" si="33"/>
        <v>0</v>
      </c>
      <c r="R119" s="134">
        <f t="shared" si="34"/>
        <v>0</v>
      </c>
      <c r="S119" s="135" t="str">
        <f t="shared" si="53"/>
        <v>-</v>
      </c>
      <c r="T119" s="136" t="str">
        <f t="shared" si="36"/>
        <v>-</v>
      </c>
      <c r="U119" s="134">
        <f t="shared" si="37"/>
        <v>0</v>
      </c>
      <c r="V119" s="137">
        <f t="shared" si="38"/>
        <v>0</v>
      </c>
      <c r="W119" s="133">
        <f t="shared" si="39"/>
        <v>0</v>
      </c>
      <c r="X119" s="134">
        <f t="shared" si="40"/>
        <v>0</v>
      </c>
      <c r="Y119" s="137">
        <f t="shared" si="41"/>
        <v>0</v>
      </c>
      <c r="Z119" s="133">
        <f t="shared" si="42"/>
        <v>0</v>
      </c>
      <c r="AA119" s="138">
        <f t="shared" si="43"/>
        <v>0</v>
      </c>
      <c r="AB119" s="137">
        <f t="shared" si="44"/>
        <v>0</v>
      </c>
      <c r="AC119" s="104">
        <f t="shared" si="45"/>
        <v>0</v>
      </c>
      <c r="AD119" s="323">
        <f t="shared" si="48"/>
        <v>0</v>
      </c>
      <c r="AE119" s="325">
        <f t="shared" si="49"/>
        <v>0</v>
      </c>
      <c r="AF119" s="324">
        <f t="shared" si="50"/>
        <v>0</v>
      </c>
      <c r="AG119" s="104">
        <f t="shared" si="54"/>
        <v>0</v>
      </c>
    </row>
    <row r="120" spans="1:33" x14ac:dyDescent="0.25">
      <c r="A120" s="120">
        <f t="shared" si="47"/>
        <v>118</v>
      </c>
      <c r="B120" s="121"/>
      <c r="C120" s="122"/>
      <c r="D120" s="123"/>
      <c r="E120" s="124"/>
      <c r="F120" s="122"/>
      <c r="G120" s="125"/>
      <c r="H120" s="126">
        <f t="shared" si="52"/>
        <v>0</v>
      </c>
      <c r="I120" s="127">
        <f t="shared" si="56"/>
        <v>0</v>
      </c>
      <c r="J120" s="159"/>
      <c r="K120" s="181" t="str">
        <f t="shared" si="55"/>
        <v/>
      </c>
      <c r="L120" s="182"/>
      <c r="M120" s="146"/>
      <c r="N120" s="180"/>
      <c r="O120" s="185"/>
      <c r="P120" s="153"/>
      <c r="Q120" s="133">
        <f t="shared" si="33"/>
        <v>0</v>
      </c>
      <c r="R120" s="134">
        <f t="shared" si="34"/>
        <v>0</v>
      </c>
      <c r="S120" s="135" t="str">
        <f t="shared" si="53"/>
        <v>-</v>
      </c>
      <c r="T120" s="136" t="str">
        <f t="shared" si="36"/>
        <v>-</v>
      </c>
      <c r="U120" s="134">
        <f t="shared" si="37"/>
        <v>0</v>
      </c>
      <c r="V120" s="137">
        <f t="shared" si="38"/>
        <v>0</v>
      </c>
      <c r="W120" s="133">
        <f t="shared" si="39"/>
        <v>0</v>
      </c>
      <c r="X120" s="134">
        <f t="shared" si="40"/>
        <v>0</v>
      </c>
      <c r="Y120" s="137">
        <f t="shared" si="41"/>
        <v>0</v>
      </c>
      <c r="Z120" s="133">
        <f t="shared" si="42"/>
        <v>0</v>
      </c>
      <c r="AA120" s="138">
        <f t="shared" si="43"/>
        <v>0</v>
      </c>
      <c r="AB120" s="137">
        <f t="shared" si="44"/>
        <v>0</v>
      </c>
      <c r="AC120" s="104">
        <f t="shared" si="45"/>
        <v>0</v>
      </c>
      <c r="AD120" s="323">
        <f t="shared" si="48"/>
        <v>0</v>
      </c>
      <c r="AE120" s="325">
        <f t="shared" si="49"/>
        <v>0</v>
      </c>
      <c r="AF120" s="324">
        <f t="shared" si="50"/>
        <v>0</v>
      </c>
      <c r="AG120" s="104">
        <f t="shared" si="54"/>
        <v>0</v>
      </c>
    </row>
    <row r="121" spans="1:33" x14ac:dyDescent="0.25">
      <c r="A121" s="120">
        <f t="shared" si="47"/>
        <v>119</v>
      </c>
      <c r="B121" s="121"/>
      <c r="C121" s="122"/>
      <c r="D121" s="123"/>
      <c r="E121" s="124"/>
      <c r="F121" s="122"/>
      <c r="G121" s="125"/>
      <c r="H121" s="126">
        <f t="shared" si="52"/>
        <v>0</v>
      </c>
      <c r="I121" s="127">
        <f t="shared" si="56"/>
        <v>0</v>
      </c>
      <c r="J121" s="159"/>
      <c r="K121" s="181" t="str">
        <f t="shared" si="55"/>
        <v/>
      </c>
      <c r="L121" s="182"/>
      <c r="M121" s="146"/>
      <c r="N121" s="180"/>
      <c r="O121" s="185"/>
      <c r="P121" s="153"/>
      <c r="Q121" s="133">
        <f t="shared" si="33"/>
        <v>0</v>
      </c>
      <c r="R121" s="134">
        <f t="shared" si="34"/>
        <v>0</v>
      </c>
      <c r="S121" s="135" t="str">
        <f t="shared" si="53"/>
        <v>-</v>
      </c>
      <c r="T121" s="136" t="str">
        <f t="shared" si="36"/>
        <v>-</v>
      </c>
      <c r="U121" s="134">
        <f t="shared" si="37"/>
        <v>0</v>
      </c>
      <c r="V121" s="137">
        <f t="shared" si="38"/>
        <v>0</v>
      </c>
      <c r="W121" s="133">
        <f t="shared" si="39"/>
        <v>0</v>
      </c>
      <c r="X121" s="134">
        <f t="shared" si="40"/>
        <v>0</v>
      </c>
      <c r="Y121" s="137">
        <f t="shared" si="41"/>
        <v>0</v>
      </c>
      <c r="Z121" s="133">
        <f t="shared" si="42"/>
        <v>0</v>
      </c>
      <c r="AA121" s="138">
        <f t="shared" si="43"/>
        <v>0</v>
      </c>
      <c r="AB121" s="137">
        <f t="shared" si="44"/>
        <v>0</v>
      </c>
      <c r="AC121" s="104">
        <f t="shared" si="45"/>
        <v>0</v>
      </c>
      <c r="AD121" s="323">
        <f t="shared" si="48"/>
        <v>0</v>
      </c>
      <c r="AE121" s="325">
        <f t="shared" si="49"/>
        <v>0</v>
      </c>
      <c r="AF121" s="324">
        <f t="shared" si="50"/>
        <v>0</v>
      </c>
      <c r="AG121" s="104">
        <f t="shared" si="54"/>
        <v>0</v>
      </c>
    </row>
    <row r="122" spans="1:33" x14ac:dyDescent="0.25">
      <c r="A122" s="120">
        <f t="shared" si="47"/>
        <v>120</v>
      </c>
      <c r="B122" s="121"/>
      <c r="C122" s="122"/>
      <c r="D122" s="123"/>
      <c r="E122" s="124"/>
      <c r="F122" s="122"/>
      <c r="G122" s="125"/>
      <c r="H122" s="126">
        <f t="shared" si="52"/>
        <v>0</v>
      </c>
      <c r="I122" s="127">
        <f t="shared" si="56"/>
        <v>0</v>
      </c>
      <c r="J122" s="159"/>
      <c r="K122" s="181" t="str">
        <f t="shared" si="55"/>
        <v/>
      </c>
      <c r="L122" s="182"/>
      <c r="M122" s="146"/>
      <c r="N122" s="180"/>
      <c r="O122" s="185"/>
      <c r="P122" s="153"/>
      <c r="Q122" s="133">
        <f t="shared" si="33"/>
        <v>0</v>
      </c>
      <c r="R122" s="134">
        <f t="shared" si="34"/>
        <v>0</v>
      </c>
      <c r="S122" s="135" t="str">
        <f t="shared" si="53"/>
        <v>-</v>
      </c>
      <c r="T122" s="136" t="str">
        <f t="shared" si="36"/>
        <v>-</v>
      </c>
      <c r="U122" s="134">
        <f t="shared" si="37"/>
        <v>0</v>
      </c>
      <c r="V122" s="137">
        <f t="shared" si="38"/>
        <v>0</v>
      </c>
      <c r="W122" s="133">
        <f t="shared" si="39"/>
        <v>0</v>
      </c>
      <c r="X122" s="134">
        <f t="shared" si="40"/>
        <v>0</v>
      </c>
      <c r="Y122" s="137">
        <f t="shared" si="41"/>
        <v>0</v>
      </c>
      <c r="Z122" s="133">
        <f t="shared" si="42"/>
        <v>0</v>
      </c>
      <c r="AA122" s="138">
        <f t="shared" si="43"/>
        <v>0</v>
      </c>
      <c r="AB122" s="137">
        <f t="shared" si="44"/>
        <v>0</v>
      </c>
      <c r="AC122" s="104">
        <f t="shared" si="45"/>
        <v>0</v>
      </c>
      <c r="AD122" s="323">
        <f t="shared" si="48"/>
        <v>0</v>
      </c>
      <c r="AE122" s="325">
        <f t="shared" si="49"/>
        <v>0</v>
      </c>
      <c r="AF122" s="324">
        <f t="shared" si="50"/>
        <v>0</v>
      </c>
      <c r="AG122" s="104">
        <f t="shared" si="54"/>
        <v>0</v>
      </c>
    </row>
    <row r="123" spans="1:33" x14ac:dyDescent="0.25">
      <c r="A123" s="120">
        <f t="shared" si="47"/>
        <v>121</v>
      </c>
      <c r="B123" s="121"/>
      <c r="C123" s="122"/>
      <c r="D123" s="123"/>
      <c r="E123" s="124"/>
      <c r="F123" s="122"/>
      <c r="G123" s="125"/>
      <c r="H123" s="126">
        <f t="shared" si="52"/>
        <v>0</v>
      </c>
      <c r="I123" s="127">
        <f t="shared" si="56"/>
        <v>0</v>
      </c>
      <c r="J123" s="159"/>
      <c r="K123" s="181" t="str">
        <f t="shared" si="55"/>
        <v/>
      </c>
      <c r="L123" s="182"/>
      <c r="M123" s="146"/>
      <c r="N123" s="180"/>
      <c r="O123" s="185"/>
      <c r="P123" s="153"/>
      <c r="Q123" s="133">
        <f t="shared" si="33"/>
        <v>0</v>
      </c>
      <c r="R123" s="134">
        <f t="shared" si="34"/>
        <v>0</v>
      </c>
      <c r="S123" s="135" t="str">
        <f t="shared" si="53"/>
        <v>-</v>
      </c>
      <c r="T123" s="136" t="str">
        <f t="shared" si="36"/>
        <v>-</v>
      </c>
      <c r="U123" s="134">
        <f t="shared" si="37"/>
        <v>0</v>
      </c>
      <c r="V123" s="137">
        <f t="shared" si="38"/>
        <v>0</v>
      </c>
      <c r="W123" s="133">
        <f t="shared" si="39"/>
        <v>0</v>
      </c>
      <c r="X123" s="134">
        <f t="shared" si="40"/>
        <v>0</v>
      </c>
      <c r="Y123" s="137">
        <f t="shared" si="41"/>
        <v>0</v>
      </c>
      <c r="Z123" s="133">
        <f t="shared" si="42"/>
        <v>0</v>
      </c>
      <c r="AA123" s="138">
        <f t="shared" si="43"/>
        <v>0</v>
      </c>
      <c r="AB123" s="137">
        <f t="shared" si="44"/>
        <v>0</v>
      </c>
      <c r="AC123" s="104">
        <f t="shared" si="45"/>
        <v>0</v>
      </c>
      <c r="AD123" s="323">
        <f t="shared" si="48"/>
        <v>0</v>
      </c>
      <c r="AE123" s="325">
        <f t="shared" si="49"/>
        <v>0</v>
      </c>
      <c r="AF123" s="324">
        <f t="shared" si="50"/>
        <v>0</v>
      </c>
      <c r="AG123" s="104">
        <f t="shared" si="54"/>
        <v>0</v>
      </c>
    </row>
    <row r="124" spans="1:33" x14ac:dyDescent="0.25">
      <c r="A124" s="120">
        <f t="shared" si="47"/>
        <v>122</v>
      </c>
      <c r="B124" s="121"/>
      <c r="C124" s="122"/>
      <c r="D124" s="123"/>
      <c r="E124" s="124"/>
      <c r="F124" s="122"/>
      <c r="G124" s="125"/>
      <c r="H124" s="126">
        <f t="shared" si="52"/>
        <v>0</v>
      </c>
      <c r="I124" s="127">
        <f t="shared" si="56"/>
        <v>0</v>
      </c>
      <c r="J124" s="159"/>
      <c r="K124" s="181" t="str">
        <f t="shared" si="55"/>
        <v/>
      </c>
      <c r="L124" s="182"/>
      <c r="M124" s="146"/>
      <c r="N124" s="180"/>
      <c r="O124" s="185"/>
      <c r="P124" s="153"/>
      <c r="Q124" s="133">
        <f t="shared" si="33"/>
        <v>0</v>
      </c>
      <c r="R124" s="134">
        <f t="shared" si="34"/>
        <v>0</v>
      </c>
      <c r="S124" s="135" t="str">
        <f t="shared" si="53"/>
        <v>-</v>
      </c>
      <c r="T124" s="136" t="str">
        <f t="shared" si="36"/>
        <v>-</v>
      </c>
      <c r="U124" s="134">
        <f t="shared" si="37"/>
        <v>0</v>
      </c>
      <c r="V124" s="137">
        <f t="shared" si="38"/>
        <v>0</v>
      </c>
      <c r="W124" s="133">
        <f t="shared" si="39"/>
        <v>0</v>
      </c>
      <c r="X124" s="134">
        <f t="shared" si="40"/>
        <v>0</v>
      </c>
      <c r="Y124" s="137">
        <f t="shared" si="41"/>
        <v>0</v>
      </c>
      <c r="Z124" s="133">
        <f t="shared" si="42"/>
        <v>0</v>
      </c>
      <c r="AA124" s="138">
        <f t="shared" si="43"/>
        <v>0</v>
      </c>
      <c r="AB124" s="137">
        <f t="shared" si="44"/>
        <v>0</v>
      </c>
      <c r="AC124" s="104">
        <f t="shared" si="45"/>
        <v>0</v>
      </c>
      <c r="AD124" s="323">
        <f t="shared" si="48"/>
        <v>0</v>
      </c>
      <c r="AE124" s="325">
        <f t="shared" si="49"/>
        <v>0</v>
      </c>
      <c r="AF124" s="324">
        <f t="shared" si="50"/>
        <v>0</v>
      </c>
      <c r="AG124" s="104">
        <f t="shared" si="54"/>
        <v>0</v>
      </c>
    </row>
    <row r="125" spans="1:33" x14ac:dyDescent="0.25">
      <c r="A125" s="120">
        <f t="shared" si="47"/>
        <v>123</v>
      </c>
      <c r="B125" s="121"/>
      <c r="C125" s="122"/>
      <c r="D125" s="123"/>
      <c r="E125" s="124"/>
      <c r="F125" s="122"/>
      <c r="G125" s="125"/>
      <c r="H125" s="126">
        <f t="shared" si="52"/>
        <v>0</v>
      </c>
      <c r="I125" s="127">
        <f t="shared" si="56"/>
        <v>0</v>
      </c>
      <c r="J125" s="159"/>
      <c r="K125" s="181" t="str">
        <f t="shared" si="55"/>
        <v/>
      </c>
      <c r="L125" s="182"/>
      <c r="M125" s="146"/>
      <c r="N125" s="180"/>
      <c r="O125" s="185"/>
      <c r="P125" s="153"/>
      <c r="Q125" s="133">
        <f t="shared" si="33"/>
        <v>0</v>
      </c>
      <c r="R125" s="134">
        <f t="shared" si="34"/>
        <v>0</v>
      </c>
      <c r="S125" s="135" t="str">
        <f t="shared" si="53"/>
        <v>-</v>
      </c>
      <c r="T125" s="136" t="str">
        <f t="shared" si="36"/>
        <v>-</v>
      </c>
      <c r="U125" s="134">
        <f t="shared" si="37"/>
        <v>0</v>
      </c>
      <c r="V125" s="137">
        <f t="shared" si="38"/>
        <v>0</v>
      </c>
      <c r="W125" s="133">
        <f t="shared" si="39"/>
        <v>0</v>
      </c>
      <c r="X125" s="134">
        <f t="shared" si="40"/>
        <v>0</v>
      </c>
      <c r="Y125" s="137">
        <f t="shared" si="41"/>
        <v>0</v>
      </c>
      <c r="Z125" s="133">
        <f t="shared" si="42"/>
        <v>0</v>
      </c>
      <c r="AA125" s="138">
        <f t="shared" si="43"/>
        <v>0</v>
      </c>
      <c r="AB125" s="137">
        <f t="shared" si="44"/>
        <v>0</v>
      </c>
      <c r="AC125" s="104">
        <f t="shared" si="45"/>
        <v>0</v>
      </c>
      <c r="AD125" s="323">
        <f t="shared" si="48"/>
        <v>0</v>
      </c>
      <c r="AE125" s="325">
        <f t="shared" si="49"/>
        <v>0</v>
      </c>
      <c r="AF125" s="324">
        <f t="shared" si="50"/>
        <v>0</v>
      </c>
      <c r="AG125" s="104">
        <f t="shared" si="54"/>
        <v>0</v>
      </c>
    </row>
    <row r="126" spans="1:33" x14ac:dyDescent="0.25">
      <c r="A126" s="120">
        <f t="shared" si="47"/>
        <v>124</v>
      </c>
      <c r="B126" s="121"/>
      <c r="C126" s="122"/>
      <c r="D126" s="123"/>
      <c r="E126" s="124"/>
      <c r="F126" s="122"/>
      <c r="G126" s="125"/>
      <c r="H126" s="126">
        <f t="shared" si="52"/>
        <v>0</v>
      </c>
      <c r="I126" s="127">
        <f t="shared" si="56"/>
        <v>0</v>
      </c>
      <c r="J126" s="159"/>
      <c r="K126" s="181" t="str">
        <f t="shared" si="55"/>
        <v/>
      </c>
      <c r="L126" s="182"/>
      <c r="M126" s="146"/>
      <c r="N126" s="180"/>
      <c r="O126" s="185"/>
      <c r="P126" s="153"/>
      <c r="Q126" s="133">
        <f t="shared" si="33"/>
        <v>0</v>
      </c>
      <c r="R126" s="134">
        <f t="shared" si="34"/>
        <v>0</v>
      </c>
      <c r="S126" s="135" t="str">
        <f t="shared" si="53"/>
        <v>-</v>
      </c>
      <c r="T126" s="136" t="str">
        <f t="shared" si="36"/>
        <v>-</v>
      </c>
      <c r="U126" s="134">
        <f t="shared" si="37"/>
        <v>0</v>
      </c>
      <c r="V126" s="137">
        <f t="shared" si="38"/>
        <v>0</v>
      </c>
      <c r="W126" s="133">
        <f t="shared" si="39"/>
        <v>0</v>
      </c>
      <c r="X126" s="134">
        <f t="shared" si="40"/>
        <v>0</v>
      </c>
      <c r="Y126" s="137">
        <f t="shared" si="41"/>
        <v>0</v>
      </c>
      <c r="Z126" s="133">
        <f t="shared" si="42"/>
        <v>0</v>
      </c>
      <c r="AA126" s="138">
        <f t="shared" si="43"/>
        <v>0</v>
      </c>
      <c r="AB126" s="137">
        <f t="shared" si="44"/>
        <v>0</v>
      </c>
      <c r="AC126" s="104">
        <f t="shared" si="45"/>
        <v>0</v>
      </c>
      <c r="AD126" s="323">
        <f t="shared" si="48"/>
        <v>0</v>
      </c>
      <c r="AE126" s="325">
        <f t="shared" si="49"/>
        <v>0</v>
      </c>
      <c r="AF126" s="324">
        <f t="shared" si="50"/>
        <v>0</v>
      </c>
      <c r="AG126" s="104">
        <f t="shared" si="54"/>
        <v>0</v>
      </c>
    </row>
    <row r="127" spans="1:33" x14ac:dyDescent="0.25">
      <c r="A127" s="120">
        <f t="shared" si="47"/>
        <v>125</v>
      </c>
      <c r="B127" s="121"/>
      <c r="C127" s="122"/>
      <c r="D127" s="123"/>
      <c r="E127" s="124"/>
      <c r="F127" s="122"/>
      <c r="G127" s="125"/>
      <c r="H127" s="126">
        <f t="shared" si="52"/>
        <v>0</v>
      </c>
      <c r="I127" s="127">
        <f t="shared" si="56"/>
        <v>0</v>
      </c>
      <c r="J127" s="159"/>
      <c r="K127" s="181" t="str">
        <f t="shared" si="55"/>
        <v/>
      </c>
      <c r="L127" s="182"/>
      <c r="M127" s="146"/>
      <c r="N127" s="180"/>
      <c r="O127" s="185"/>
      <c r="P127" s="153"/>
      <c r="Q127" s="133">
        <f t="shared" si="33"/>
        <v>0</v>
      </c>
      <c r="R127" s="134">
        <f t="shared" si="34"/>
        <v>0</v>
      </c>
      <c r="S127" s="135" t="str">
        <f t="shared" si="53"/>
        <v>-</v>
      </c>
      <c r="T127" s="136" t="str">
        <f t="shared" si="36"/>
        <v>-</v>
      </c>
      <c r="U127" s="134">
        <f t="shared" si="37"/>
        <v>0</v>
      </c>
      <c r="V127" s="137">
        <f t="shared" si="38"/>
        <v>0</v>
      </c>
      <c r="W127" s="133">
        <f t="shared" si="39"/>
        <v>0</v>
      </c>
      <c r="X127" s="134">
        <f t="shared" si="40"/>
        <v>0</v>
      </c>
      <c r="Y127" s="137">
        <f t="shared" si="41"/>
        <v>0</v>
      </c>
      <c r="Z127" s="133">
        <f t="shared" si="42"/>
        <v>0</v>
      </c>
      <c r="AA127" s="138">
        <f t="shared" si="43"/>
        <v>0</v>
      </c>
      <c r="AB127" s="137">
        <f t="shared" si="44"/>
        <v>0</v>
      </c>
      <c r="AC127" s="104">
        <f t="shared" si="45"/>
        <v>0</v>
      </c>
      <c r="AD127" s="323">
        <f t="shared" si="48"/>
        <v>0</v>
      </c>
      <c r="AE127" s="325">
        <f t="shared" si="49"/>
        <v>0</v>
      </c>
      <c r="AF127" s="324">
        <f t="shared" si="50"/>
        <v>0</v>
      </c>
      <c r="AG127" s="104">
        <f t="shared" si="54"/>
        <v>0</v>
      </c>
    </row>
    <row r="128" spans="1:33" x14ac:dyDescent="0.25">
      <c r="A128" s="120">
        <f t="shared" si="47"/>
        <v>126</v>
      </c>
      <c r="B128" s="121"/>
      <c r="C128" s="122"/>
      <c r="D128" s="123"/>
      <c r="E128" s="124"/>
      <c r="F128" s="122"/>
      <c r="G128" s="125"/>
      <c r="H128" s="126">
        <f t="shared" si="52"/>
        <v>0</v>
      </c>
      <c r="I128" s="127">
        <f t="shared" si="56"/>
        <v>0</v>
      </c>
      <c r="J128" s="159"/>
      <c r="K128" s="181" t="str">
        <f t="shared" si="55"/>
        <v/>
      </c>
      <c r="L128" s="182"/>
      <c r="M128" s="146"/>
      <c r="N128" s="180"/>
      <c r="O128" s="185"/>
      <c r="P128" s="153"/>
      <c r="Q128" s="133">
        <f t="shared" si="33"/>
        <v>0</v>
      </c>
      <c r="R128" s="134">
        <f t="shared" si="34"/>
        <v>0</v>
      </c>
      <c r="S128" s="135" t="str">
        <f t="shared" si="53"/>
        <v>-</v>
      </c>
      <c r="T128" s="136" t="str">
        <f t="shared" si="36"/>
        <v>-</v>
      </c>
      <c r="U128" s="134">
        <f t="shared" si="37"/>
        <v>0</v>
      </c>
      <c r="V128" s="137">
        <f t="shared" si="38"/>
        <v>0</v>
      </c>
      <c r="W128" s="133">
        <f t="shared" si="39"/>
        <v>0</v>
      </c>
      <c r="X128" s="134">
        <f t="shared" si="40"/>
        <v>0</v>
      </c>
      <c r="Y128" s="137">
        <f t="shared" si="41"/>
        <v>0</v>
      </c>
      <c r="Z128" s="133">
        <f t="shared" si="42"/>
        <v>0</v>
      </c>
      <c r="AA128" s="138">
        <f t="shared" si="43"/>
        <v>0</v>
      </c>
      <c r="AB128" s="137">
        <f t="shared" si="44"/>
        <v>0</v>
      </c>
      <c r="AC128" s="104">
        <f t="shared" si="45"/>
        <v>0</v>
      </c>
      <c r="AD128" s="323">
        <f t="shared" si="48"/>
        <v>0</v>
      </c>
      <c r="AE128" s="325">
        <f t="shared" si="49"/>
        <v>0</v>
      </c>
      <c r="AF128" s="324">
        <f t="shared" si="50"/>
        <v>0</v>
      </c>
      <c r="AG128" s="104">
        <f t="shared" si="54"/>
        <v>0</v>
      </c>
    </row>
    <row r="129" spans="1:33" x14ac:dyDescent="0.25">
      <c r="A129" s="120">
        <f t="shared" si="47"/>
        <v>127</v>
      </c>
      <c r="B129" s="121"/>
      <c r="C129" s="122"/>
      <c r="D129" s="123"/>
      <c r="E129" s="124"/>
      <c r="F129" s="122"/>
      <c r="G129" s="125"/>
      <c r="H129" s="126">
        <f t="shared" si="52"/>
        <v>0</v>
      </c>
      <c r="I129" s="127">
        <f t="shared" si="56"/>
        <v>0</v>
      </c>
      <c r="J129" s="159"/>
      <c r="K129" s="181" t="str">
        <f t="shared" si="55"/>
        <v/>
      </c>
      <c r="L129" s="182"/>
      <c r="M129" s="146"/>
      <c r="N129" s="180"/>
      <c r="O129" s="185"/>
      <c r="P129" s="153"/>
      <c r="Q129" s="133">
        <f t="shared" si="33"/>
        <v>0</v>
      </c>
      <c r="R129" s="134">
        <f t="shared" si="34"/>
        <v>0</v>
      </c>
      <c r="S129" s="135" t="str">
        <f t="shared" si="53"/>
        <v>-</v>
      </c>
      <c r="T129" s="136" t="str">
        <f t="shared" si="36"/>
        <v>-</v>
      </c>
      <c r="U129" s="134">
        <f t="shared" si="37"/>
        <v>0</v>
      </c>
      <c r="V129" s="137">
        <f t="shared" si="38"/>
        <v>0</v>
      </c>
      <c r="W129" s="133">
        <f t="shared" si="39"/>
        <v>0</v>
      </c>
      <c r="X129" s="134">
        <f t="shared" si="40"/>
        <v>0</v>
      </c>
      <c r="Y129" s="137">
        <f t="shared" si="41"/>
        <v>0</v>
      </c>
      <c r="Z129" s="133">
        <f t="shared" si="42"/>
        <v>0</v>
      </c>
      <c r="AA129" s="138">
        <f t="shared" si="43"/>
        <v>0</v>
      </c>
      <c r="AB129" s="137">
        <f t="shared" si="44"/>
        <v>0</v>
      </c>
      <c r="AC129" s="104">
        <f t="shared" si="45"/>
        <v>0</v>
      </c>
      <c r="AD129" s="323">
        <f t="shared" si="48"/>
        <v>0</v>
      </c>
      <c r="AE129" s="325">
        <f t="shared" si="49"/>
        <v>0</v>
      </c>
      <c r="AF129" s="324">
        <f t="shared" si="50"/>
        <v>0</v>
      </c>
      <c r="AG129" s="104">
        <f t="shared" si="54"/>
        <v>0</v>
      </c>
    </row>
    <row r="130" spans="1:33" x14ac:dyDescent="0.25">
      <c r="A130" s="120">
        <f t="shared" si="47"/>
        <v>128</v>
      </c>
      <c r="B130" s="121"/>
      <c r="C130" s="122"/>
      <c r="D130" s="123"/>
      <c r="E130" s="124"/>
      <c r="F130" s="122"/>
      <c r="G130" s="125"/>
      <c r="H130" s="126">
        <f t="shared" si="52"/>
        <v>0</v>
      </c>
      <c r="I130" s="127">
        <f t="shared" si="56"/>
        <v>0</v>
      </c>
      <c r="J130" s="159"/>
      <c r="K130" s="181" t="str">
        <f t="shared" si="55"/>
        <v/>
      </c>
      <c r="L130" s="182"/>
      <c r="M130" s="146"/>
      <c r="N130" s="180"/>
      <c r="O130" s="185"/>
      <c r="P130" s="153"/>
      <c r="Q130" s="133">
        <f t="shared" si="33"/>
        <v>0</v>
      </c>
      <c r="R130" s="134">
        <f t="shared" si="34"/>
        <v>0</v>
      </c>
      <c r="S130" s="135" t="str">
        <f t="shared" si="53"/>
        <v>-</v>
      </c>
      <c r="T130" s="136" t="str">
        <f t="shared" si="36"/>
        <v>-</v>
      </c>
      <c r="U130" s="134">
        <f t="shared" si="37"/>
        <v>0</v>
      </c>
      <c r="V130" s="137">
        <f t="shared" si="38"/>
        <v>0</v>
      </c>
      <c r="W130" s="133">
        <f t="shared" si="39"/>
        <v>0</v>
      </c>
      <c r="X130" s="134">
        <f t="shared" si="40"/>
        <v>0</v>
      </c>
      <c r="Y130" s="137">
        <f t="shared" si="41"/>
        <v>0</v>
      </c>
      <c r="Z130" s="133">
        <f t="shared" si="42"/>
        <v>0</v>
      </c>
      <c r="AA130" s="138">
        <f t="shared" si="43"/>
        <v>0</v>
      </c>
      <c r="AB130" s="137">
        <f t="shared" si="44"/>
        <v>0</v>
      </c>
      <c r="AC130" s="104">
        <f t="shared" si="45"/>
        <v>0</v>
      </c>
      <c r="AD130" s="323">
        <f t="shared" si="48"/>
        <v>0</v>
      </c>
      <c r="AE130" s="325">
        <f t="shared" si="49"/>
        <v>0</v>
      </c>
      <c r="AF130" s="324">
        <f t="shared" si="50"/>
        <v>0</v>
      </c>
      <c r="AG130" s="104">
        <f t="shared" si="54"/>
        <v>0</v>
      </c>
    </row>
    <row r="131" spans="1:33" x14ac:dyDescent="0.25">
      <c r="A131" s="120">
        <f t="shared" si="47"/>
        <v>129</v>
      </c>
      <c r="B131" s="121"/>
      <c r="C131" s="122"/>
      <c r="D131" s="123"/>
      <c r="E131" s="124"/>
      <c r="F131" s="122"/>
      <c r="G131" s="125"/>
      <c r="H131" s="126">
        <f t="shared" ref="H131:H152" si="57">VLOOKUP($D131&amp;$F131,$K$36:$N$152,4,FALSE)</f>
        <v>0</v>
      </c>
      <c r="I131" s="127">
        <f t="shared" si="56"/>
        <v>0</v>
      </c>
      <c r="J131" s="159"/>
      <c r="K131" s="181" t="str">
        <f t="shared" si="55"/>
        <v/>
      </c>
      <c r="L131" s="182"/>
      <c r="M131" s="146"/>
      <c r="N131" s="180"/>
      <c r="O131" s="185"/>
      <c r="P131" s="153"/>
      <c r="Q131" s="133">
        <f t="shared" ref="Q131:Q152" si="58">IF(FIND("X",UPPER($D131)&amp;"X",1)&lt;=LEN($D131),U131,0)</f>
        <v>0</v>
      </c>
      <c r="R131" s="134">
        <f t="shared" ref="R131:R152" si="59">IF(VALUE(Q131)=0,$U131,0)</f>
        <v>0</v>
      </c>
      <c r="S131" s="135" t="str">
        <f t="shared" ref="S131:S152" si="60">IF($E131=0,"-",jaar-$E131)</f>
        <v>-</v>
      </c>
      <c r="T131" s="136" t="str">
        <f t="shared" ref="T131:T152" si="61">IF(ISBLANK($E131),"-",($H131/$H$1)*S131)</f>
        <v>-</v>
      </c>
      <c r="U131" s="134">
        <f t="shared" ref="U131:U152" si="62">IF(ISBLANK($D131),0,VALUE(IF(LEFT($D131,1)="W",MID($D131,2,1),IF(LEFT(D131,1)="C",MID($D131,2,1),IF(LEFT(D131,1)="O",MID($D131,2,1),IF(LEFT(D131,1)="B",MID($D131,2,1),LEFT(D131,1)))))))</f>
        <v>0</v>
      </c>
      <c r="V131" s="137">
        <f t="shared" ref="V131:V152" si="63">$G131*$U131</f>
        <v>0</v>
      </c>
      <c r="W131" s="133">
        <f t="shared" ref="W131:W152" si="64">IF($U131&lt;&gt;0, IF(ISERROR(VALUE(LEFT($D131,1))),0,$U131),0)</f>
        <v>0</v>
      </c>
      <c r="X131" s="134">
        <f t="shared" ref="X131:X152" si="65">IF($U131&lt;&gt;0, IF(LEFT($D131,1)="C",$U131,0),0)</f>
        <v>0</v>
      </c>
      <c r="Y131" s="137">
        <f t="shared" ref="Y131:Y152" si="66">IF($U131&lt;&gt;0, IF(LEFT($D131,1)="W",$U131,0),0)</f>
        <v>0</v>
      </c>
      <c r="Z131" s="133">
        <f t="shared" ref="Z131:Z152" si="67">IF($B131&lt;&gt;"", IF(VALUE(LEFT($B131,1))=1,$U131,0),0)</f>
        <v>0</v>
      </c>
      <c r="AA131" s="138">
        <f t="shared" ref="AA131:AA152" si="68">IF($B131&lt;&gt;"", IF(VALUE(LEFT($B131,1))=2,$U131,0),0)</f>
        <v>0</v>
      </c>
      <c r="AB131" s="137">
        <f t="shared" ref="AB131:AB152" si="69">IF($B131&lt;&gt;"", IF(VALUE(LEFT($B131,1))=3,$U131,0),0)</f>
        <v>0</v>
      </c>
      <c r="AC131" s="104">
        <f t="shared" ref="AC131:AC152" si="70">H131+(Q131*$M$3)+(R131*$M$4)</f>
        <v>0</v>
      </c>
      <c r="AD131" s="323">
        <f t="shared" si="48"/>
        <v>0</v>
      </c>
      <c r="AE131" s="325">
        <f t="shared" si="49"/>
        <v>0</v>
      </c>
      <c r="AF131" s="324">
        <f t="shared" si="50"/>
        <v>0</v>
      </c>
      <c r="AG131" s="104">
        <f t="shared" ref="AG131:AG152" si="71">IF(levensduur&lt;&gt;0,(MAX($I131,peiljaar)-(levensduur+$E131+1))/levensduur*$AC131,0)</f>
        <v>0</v>
      </c>
    </row>
    <row r="132" spans="1:33" x14ac:dyDescent="0.25">
      <c r="A132" s="120">
        <f t="shared" ref="A132:A152" si="72">ROW()-2</f>
        <v>130</v>
      </c>
      <c r="B132" s="121"/>
      <c r="C132" s="122"/>
      <c r="D132" s="123"/>
      <c r="E132" s="124"/>
      <c r="F132" s="122"/>
      <c r="G132" s="125"/>
      <c r="H132" s="126">
        <f t="shared" si="57"/>
        <v>0</v>
      </c>
      <c r="I132" s="127">
        <f t="shared" si="56"/>
        <v>0</v>
      </c>
      <c r="J132" s="159"/>
      <c r="K132" s="181" t="str">
        <f t="shared" si="55"/>
        <v/>
      </c>
      <c r="L132" s="182"/>
      <c r="M132" s="146"/>
      <c r="N132" s="180"/>
      <c r="O132" s="185"/>
      <c r="P132" s="153"/>
      <c r="Q132" s="133">
        <f t="shared" si="58"/>
        <v>0</v>
      </c>
      <c r="R132" s="134">
        <f t="shared" si="59"/>
        <v>0</v>
      </c>
      <c r="S132" s="135" t="str">
        <f t="shared" si="60"/>
        <v>-</v>
      </c>
      <c r="T132" s="136" t="str">
        <f t="shared" si="61"/>
        <v>-</v>
      </c>
      <c r="U132" s="134">
        <f t="shared" si="62"/>
        <v>0</v>
      </c>
      <c r="V132" s="137">
        <f t="shared" si="63"/>
        <v>0</v>
      </c>
      <c r="W132" s="133">
        <f t="shared" si="64"/>
        <v>0</v>
      </c>
      <c r="X132" s="134">
        <f t="shared" si="65"/>
        <v>0</v>
      </c>
      <c r="Y132" s="137">
        <f t="shared" si="66"/>
        <v>0</v>
      </c>
      <c r="Z132" s="133">
        <f t="shared" si="67"/>
        <v>0</v>
      </c>
      <c r="AA132" s="138">
        <f t="shared" si="68"/>
        <v>0</v>
      </c>
      <c r="AB132" s="137">
        <f t="shared" si="69"/>
        <v>0</v>
      </c>
      <c r="AC132" s="104">
        <f t="shared" si="70"/>
        <v>0</v>
      </c>
      <c r="AD132" s="323">
        <f t="shared" ref="AD132:AD150" si="73">IF(W132&lt;&gt;0,$H132,0)</f>
        <v>0</v>
      </c>
      <c r="AE132" s="325">
        <f t="shared" si="49"/>
        <v>0</v>
      </c>
      <c r="AF132" s="324">
        <f t="shared" si="50"/>
        <v>0</v>
      </c>
      <c r="AG132" s="104">
        <f t="shared" si="71"/>
        <v>0</v>
      </c>
    </row>
    <row r="133" spans="1:33" x14ac:dyDescent="0.25">
      <c r="A133" s="120">
        <f t="shared" si="72"/>
        <v>131</v>
      </c>
      <c r="B133" s="121"/>
      <c r="C133" s="122"/>
      <c r="D133" s="123"/>
      <c r="E133" s="124"/>
      <c r="F133" s="122"/>
      <c r="G133" s="125"/>
      <c r="H133" s="126">
        <f t="shared" si="57"/>
        <v>0</v>
      </c>
      <c r="I133" s="127">
        <f t="shared" si="56"/>
        <v>0</v>
      </c>
      <c r="J133" s="159"/>
      <c r="K133" s="181" t="str">
        <f t="shared" si="55"/>
        <v/>
      </c>
      <c r="L133" s="182"/>
      <c r="M133" s="146"/>
      <c r="N133" s="180"/>
      <c r="O133" s="185"/>
      <c r="P133" s="153"/>
      <c r="Q133" s="133">
        <f t="shared" si="58"/>
        <v>0</v>
      </c>
      <c r="R133" s="134">
        <f t="shared" si="59"/>
        <v>0</v>
      </c>
      <c r="S133" s="135" t="str">
        <f t="shared" si="60"/>
        <v>-</v>
      </c>
      <c r="T133" s="136" t="str">
        <f t="shared" si="61"/>
        <v>-</v>
      </c>
      <c r="U133" s="134">
        <f t="shared" si="62"/>
        <v>0</v>
      </c>
      <c r="V133" s="137">
        <f t="shared" si="63"/>
        <v>0</v>
      </c>
      <c r="W133" s="133">
        <f t="shared" si="64"/>
        <v>0</v>
      </c>
      <c r="X133" s="134">
        <f t="shared" si="65"/>
        <v>0</v>
      </c>
      <c r="Y133" s="137">
        <f t="shared" si="66"/>
        <v>0</v>
      </c>
      <c r="Z133" s="133">
        <f t="shared" si="67"/>
        <v>0</v>
      </c>
      <c r="AA133" s="138">
        <f t="shared" si="68"/>
        <v>0</v>
      </c>
      <c r="AB133" s="137">
        <f t="shared" si="69"/>
        <v>0</v>
      </c>
      <c r="AC133" s="104">
        <f t="shared" si="70"/>
        <v>0</v>
      </c>
      <c r="AD133" s="323">
        <f t="shared" si="73"/>
        <v>0</v>
      </c>
      <c r="AE133" s="325">
        <f t="shared" si="49"/>
        <v>0</v>
      </c>
      <c r="AF133" s="324">
        <f t="shared" si="50"/>
        <v>0</v>
      </c>
      <c r="AG133" s="104">
        <f t="shared" si="71"/>
        <v>0</v>
      </c>
    </row>
    <row r="134" spans="1:33" x14ac:dyDescent="0.25">
      <c r="A134" s="120">
        <f t="shared" si="72"/>
        <v>132</v>
      </c>
      <c r="B134" s="121"/>
      <c r="C134" s="122"/>
      <c r="D134" s="123"/>
      <c r="E134" s="124"/>
      <c r="F134" s="122"/>
      <c r="G134" s="125"/>
      <c r="H134" s="126">
        <f t="shared" si="57"/>
        <v>0</v>
      </c>
      <c r="I134" s="127">
        <f t="shared" si="56"/>
        <v>0</v>
      </c>
      <c r="J134" s="159"/>
      <c r="K134" s="181" t="str">
        <f t="shared" si="55"/>
        <v/>
      </c>
      <c r="L134" s="182"/>
      <c r="M134" s="146"/>
      <c r="N134" s="180"/>
      <c r="O134" s="185"/>
      <c r="P134" s="153"/>
      <c r="Q134" s="133">
        <f t="shared" si="58"/>
        <v>0</v>
      </c>
      <c r="R134" s="134">
        <f t="shared" si="59"/>
        <v>0</v>
      </c>
      <c r="S134" s="135" t="str">
        <f t="shared" si="60"/>
        <v>-</v>
      </c>
      <c r="T134" s="136" t="str">
        <f t="shared" si="61"/>
        <v>-</v>
      </c>
      <c r="U134" s="134">
        <f t="shared" si="62"/>
        <v>0</v>
      </c>
      <c r="V134" s="137">
        <f t="shared" si="63"/>
        <v>0</v>
      </c>
      <c r="W134" s="133">
        <f t="shared" si="64"/>
        <v>0</v>
      </c>
      <c r="X134" s="134">
        <f t="shared" si="65"/>
        <v>0</v>
      </c>
      <c r="Y134" s="137">
        <f t="shared" si="66"/>
        <v>0</v>
      </c>
      <c r="Z134" s="133">
        <f t="shared" si="67"/>
        <v>0</v>
      </c>
      <c r="AA134" s="138">
        <f t="shared" si="68"/>
        <v>0</v>
      </c>
      <c r="AB134" s="137">
        <f t="shared" si="69"/>
        <v>0</v>
      </c>
      <c r="AC134" s="104">
        <f t="shared" si="70"/>
        <v>0</v>
      </c>
      <c r="AD134" s="323">
        <f t="shared" si="73"/>
        <v>0</v>
      </c>
      <c r="AE134" s="325">
        <f t="shared" si="49"/>
        <v>0</v>
      </c>
      <c r="AF134" s="324">
        <f t="shared" si="50"/>
        <v>0</v>
      </c>
      <c r="AG134" s="104">
        <f t="shared" si="71"/>
        <v>0</v>
      </c>
    </row>
    <row r="135" spans="1:33" x14ac:dyDescent="0.25">
      <c r="A135" s="120">
        <f t="shared" si="72"/>
        <v>133</v>
      </c>
      <c r="B135" s="121"/>
      <c r="C135" s="122"/>
      <c r="D135" s="123"/>
      <c r="E135" s="124"/>
      <c r="F135" s="122"/>
      <c r="G135" s="125"/>
      <c r="H135" s="126">
        <f t="shared" si="57"/>
        <v>0</v>
      </c>
      <c r="I135" s="127">
        <f t="shared" si="56"/>
        <v>0</v>
      </c>
      <c r="J135" s="159"/>
      <c r="K135" s="181" t="str">
        <f t="shared" si="55"/>
        <v/>
      </c>
      <c r="L135" s="182"/>
      <c r="M135" s="146"/>
      <c r="N135" s="180"/>
      <c r="O135" s="185"/>
      <c r="P135" s="153"/>
      <c r="Q135" s="133">
        <f t="shared" si="58"/>
        <v>0</v>
      </c>
      <c r="R135" s="134">
        <f t="shared" si="59"/>
        <v>0</v>
      </c>
      <c r="S135" s="135" t="str">
        <f t="shared" si="60"/>
        <v>-</v>
      </c>
      <c r="T135" s="136" t="str">
        <f t="shared" si="61"/>
        <v>-</v>
      </c>
      <c r="U135" s="134">
        <f t="shared" si="62"/>
        <v>0</v>
      </c>
      <c r="V135" s="137">
        <f t="shared" si="63"/>
        <v>0</v>
      </c>
      <c r="W135" s="133">
        <f t="shared" si="64"/>
        <v>0</v>
      </c>
      <c r="X135" s="134">
        <f t="shared" si="65"/>
        <v>0</v>
      </c>
      <c r="Y135" s="137">
        <f t="shared" si="66"/>
        <v>0</v>
      </c>
      <c r="Z135" s="133">
        <f t="shared" si="67"/>
        <v>0</v>
      </c>
      <c r="AA135" s="138">
        <f t="shared" si="68"/>
        <v>0</v>
      </c>
      <c r="AB135" s="137">
        <f t="shared" si="69"/>
        <v>0</v>
      </c>
      <c r="AC135" s="104">
        <f t="shared" si="70"/>
        <v>0</v>
      </c>
      <c r="AD135" s="323">
        <f t="shared" si="73"/>
        <v>0</v>
      </c>
      <c r="AE135" s="325">
        <f t="shared" si="49"/>
        <v>0</v>
      </c>
      <c r="AF135" s="324">
        <f t="shared" si="50"/>
        <v>0</v>
      </c>
      <c r="AG135" s="104">
        <f t="shared" si="71"/>
        <v>0</v>
      </c>
    </row>
    <row r="136" spans="1:33" x14ac:dyDescent="0.25">
      <c r="A136" s="120">
        <f t="shared" si="72"/>
        <v>134</v>
      </c>
      <c r="B136" s="121"/>
      <c r="C136" s="122"/>
      <c r="D136" s="123"/>
      <c r="E136" s="124"/>
      <c r="F136" s="122"/>
      <c r="G136" s="125"/>
      <c r="H136" s="126">
        <f t="shared" si="57"/>
        <v>0</v>
      </c>
      <c r="I136" s="127">
        <f t="shared" si="56"/>
        <v>0</v>
      </c>
      <c r="J136" s="159"/>
      <c r="K136" s="181" t="str">
        <f t="shared" si="55"/>
        <v/>
      </c>
      <c r="L136" s="182"/>
      <c r="M136" s="146"/>
      <c r="N136" s="180"/>
      <c r="O136" s="185"/>
      <c r="P136" s="153"/>
      <c r="Q136" s="133">
        <f t="shared" si="58"/>
        <v>0</v>
      </c>
      <c r="R136" s="134">
        <f t="shared" si="59"/>
        <v>0</v>
      </c>
      <c r="S136" s="135" t="str">
        <f t="shared" si="60"/>
        <v>-</v>
      </c>
      <c r="T136" s="136" t="str">
        <f t="shared" si="61"/>
        <v>-</v>
      </c>
      <c r="U136" s="134">
        <f t="shared" si="62"/>
        <v>0</v>
      </c>
      <c r="V136" s="137">
        <f t="shared" si="63"/>
        <v>0</v>
      </c>
      <c r="W136" s="133">
        <f t="shared" si="64"/>
        <v>0</v>
      </c>
      <c r="X136" s="134">
        <f t="shared" si="65"/>
        <v>0</v>
      </c>
      <c r="Y136" s="137">
        <f t="shared" si="66"/>
        <v>0</v>
      </c>
      <c r="Z136" s="133">
        <f t="shared" si="67"/>
        <v>0</v>
      </c>
      <c r="AA136" s="138">
        <f t="shared" si="68"/>
        <v>0</v>
      </c>
      <c r="AB136" s="137">
        <f t="shared" si="69"/>
        <v>0</v>
      </c>
      <c r="AC136" s="104">
        <f t="shared" si="70"/>
        <v>0</v>
      </c>
      <c r="AD136" s="323">
        <f t="shared" si="73"/>
        <v>0</v>
      </c>
      <c r="AE136" s="325">
        <f t="shared" si="49"/>
        <v>0</v>
      </c>
      <c r="AF136" s="324">
        <f t="shared" si="50"/>
        <v>0</v>
      </c>
      <c r="AG136" s="104">
        <f t="shared" si="71"/>
        <v>0</v>
      </c>
    </row>
    <row r="137" spans="1:33" x14ac:dyDescent="0.25">
      <c r="A137" s="120">
        <f t="shared" si="72"/>
        <v>135</v>
      </c>
      <c r="B137" s="121"/>
      <c r="C137" s="122"/>
      <c r="D137" s="123"/>
      <c r="E137" s="124"/>
      <c r="F137" s="122"/>
      <c r="G137" s="125"/>
      <c r="H137" s="126">
        <f t="shared" si="57"/>
        <v>0</v>
      </c>
      <c r="I137" s="127">
        <f t="shared" si="56"/>
        <v>0</v>
      </c>
      <c r="J137" s="159"/>
      <c r="K137" s="181" t="str">
        <f t="shared" si="55"/>
        <v/>
      </c>
      <c r="L137" s="182"/>
      <c r="M137" s="146"/>
      <c r="N137" s="180"/>
      <c r="O137" s="185"/>
      <c r="P137" s="153"/>
      <c r="Q137" s="133">
        <f t="shared" si="58"/>
        <v>0</v>
      </c>
      <c r="R137" s="134">
        <f t="shared" si="59"/>
        <v>0</v>
      </c>
      <c r="S137" s="135" t="str">
        <f t="shared" si="60"/>
        <v>-</v>
      </c>
      <c r="T137" s="136" t="str">
        <f t="shared" si="61"/>
        <v>-</v>
      </c>
      <c r="U137" s="134">
        <f t="shared" si="62"/>
        <v>0</v>
      </c>
      <c r="V137" s="137">
        <f t="shared" si="63"/>
        <v>0</v>
      </c>
      <c r="W137" s="133">
        <f t="shared" si="64"/>
        <v>0</v>
      </c>
      <c r="X137" s="134">
        <f t="shared" si="65"/>
        <v>0</v>
      </c>
      <c r="Y137" s="137">
        <f t="shared" si="66"/>
        <v>0</v>
      </c>
      <c r="Z137" s="133">
        <f t="shared" si="67"/>
        <v>0</v>
      </c>
      <c r="AA137" s="138">
        <f t="shared" si="68"/>
        <v>0</v>
      </c>
      <c r="AB137" s="137">
        <f t="shared" si="69"/>
        <v>0</v>
      </c>
      <c r="AC137" s="104">
        <f t="shared" si="70"/>
        <v>0</v>
      </c>
      <c r="AD137" s="323">
        <f t="shared" si="73"/>
        <v>0</v>
      </c>
      <c r="AE137" s="325">
        <f t="shared" si="49"/>
        <v>0</v>
      </c>
      <c r="AF137" s="324">
        <f t="shared" si="50"/>
        <v>0</v>
      </c>
      <c r="AG137" s="104">
        <f t="shared" si="71"/>
        <v>0</v>
      </c>
    </row>
    <row r="138" spans="1:33" x14ac:dyDescent="0.25">
      <c r="A138" s="120">
        <f t="shared" si="72"/>
        <v>136</v>
      </c>
      <c r="B138" s="121"/>
      <c r="C138" s="122"/>
      <c r="D138" s="123"/>
      <c r="E138" s="124"/>
      <c r="F138" s="122"/>
      <c r="G138" s="125"/>
      <c r="H138" s="126">
        <f t="shared" si="57"/>
        <v>0</v>
      </c>
      <c r="I138" s="127">
        <f t="shared" si="56"/>
        <v>0</v>
      </c>
      <c r="J138" s="159"/>
      <c r="K138" s="181" t="str">
        <f t="shared" si="55"/>
        <v/>
      </c>
      <c r="L138" s="182"/>
      <c r="M138" s="146"/>
      <c r="N138" s="180"/>
      <c r="O138" s="185"/>
      <c r="P138" s="153"/>
      <c r="Q138" s="133">
        <f t="shared" si="58"/>
        <v>0</v>
      </c>
      <c r="R138" s="134">
        <f t="shared" si="59"/>
        <v>0</v>
      </c>
      <c r="S138" s="135" t="str">
        <f t="shared" si="60"/>
        <v>-</v>
      </c>
      <c r="T138" s="136" t="str">
        <f t="shared" si="61"/>
        <v>-</v>
      </c>
      <c r="U138" s="134">
        <f t="shared" si="62"/>
        <v>0</v>
      </c>
      <c r="V138" s="137">
        <f t="shared" si="63"/>
        <v>0</v>
      </c>
      <c r="W138" s="133">
        <f t="shared" si="64"/>
        <v>0</v>
      </c>
      <c r="X138" s="134">
        <f t="shared" si="65"/>
        <v>0</v>
      </c>
      <c r="Y138" s="137">
        <f t="shared" si="66"/>
        <v>0</v>
      </c>
      <c r="Z138" s="133">
        <f t="shared" si="67"/>
        <v>0</v>
      </c>
      <c r="AA138" s="138">
        <f t="shared" si="68"/>
        <v>0</v>
      </c>
      <c r="AB138" s="137">
        <f t="shared" si="69"/>
        <v>0</v>
      </c>
      <c r="AC138" s="104">
        <f t="shared" si="70"/>
        <v>0</v>
      </c>
      <c r="AD138" s="323">
        <f t="shared" si="73"/>
        <v>0</v>
      </c>
      <c r="AE138" s="325">
        <f t="shared" si="49"/>
        <v>0</v>
      </c>
      <c r="AF138" s="324">
        <f t="shared" si="50"/>
        <v>0</v>
      </c>
      <c r="AG138" s="104">
        <f t="shared" si="71"/>
        <v>0</v>
      </c>
    </row>
    <row r="139" spans="1:33" x14ac:dyDescent="0.25">
      <c r="A139" s="120">
        <f t="shared" si="72"/>
        <v>137</v>
      </c>
      <c r="B139" s="121"/>
      <c r="C139" s="122"/>
      <c r="D139" s="123"/>
      <c r="E139" s="124"/>
      <c r="F139" s="122"/>
      <c r="G139" s="125"/>
      <c r="H139" s="126">
        <f t="shared" si="57"/>
        <v>0</v>
      </c>
      <c r="I139" s="127">
        <f t="shared" si="56"/>
        <v>0</v>
      </c>
      <c r="J139" s="159"/>
      <c r="K139" s="181" t="str">
        <f t="shared" si="55"/>
        <v/>
      </c>
      <c r="L139" s="182"/>
      <c r="M139" s="146"/>
      <c r="N139" s="180"/>
      <c r="O139" s="185"/>
      <c r="P139" s="153"/>
      <c r="Q139" s="133">
        <f t="shared" si="58"/>
        <v>0</v>
      </c>
      <c r="R139" s="134">
        <f t="shared" si="59"/>
        <v>0</v>
      </c>
      <c r="S139" s="135" t="str">
        <f t="shared" si="60"/>
        <v>-</v>
      </c>
      <c r="T139" s="136" t="str">
        <f t="shared" si="61"/>
        <v>-</v>
      </c>
      <c r="U139" s="134">
        <f t="shared" si="62"/>
        <v>0</v>
      </c>
      <c r="V139" s="137">
        <f t="shared" si="63"/>
        <v>0</v>
      </c>
      <c r="W139" s="133">
        <f t="shared" si="64"/>
        <v>0</v>
      </c>
      <c r="X139" s="134">
        <f t="shared" si="65"/>
        <v>0</v>
      </c>
      <c r="Y139" s="137">
        <f t="shared" si="66"/>
        <v>0</v>
      </c>
      <c r="Z139" s="133">
        <f t="shared" si="67"/>
        <v>0</v>
      </c>
      <c r="AA139" s="138">
        <f t="shared" si="68"/>
        <v>0</v>
      </c>
      <c r="AB139" s="137">
        <f t="shared" si="69"/>
        <v>0</v>
      </c>
      <c r="AC139" s="104">
        <f t="shared" si="70"/>
        <v>0</v>
      </c>
      <c r="AD139" s="323">
        <f t="shared" si="73"/>
        <v>0</v>
      </c>
      <c r="AE139" s="325">
        <f t="shared" si="49"/>
        <v>0</v>
      </c>
      <c r="AF139" s="324">
        <f t="shared" si="50"/>
        <v>0</v>
      </c>
      <c r="AG139" s="104">
        <f t="shared" si="71"/>
        <v>0</v>
      </c>
    </row>
    <row r="140" spans="1:33" x14ac:dyDescent="0.25">
      <c r="A140" s="120">
        <f t="shared" si="72"/>
        <v>138</v>
      </c>
      <c r="B140" s="121"/>
      <c r="C140" s="122"/>
      <c r="D140" s="123"/>
      <c r="E140" s="124"/>
      <c r="F140" s="122"/>
      <c r="G140" s="125"/>
      <c r="H140" s="126">
        <f t="shared" si="57"/>
        <v>0</v>
      </c>
      <c r="I140" s="127">
        <f t="shared" si="56"/>
        <v>0</v>
      </c>
      <c r="J140" s="159"/>
      <c r="K140" s="181" t="str">
        <f t="shared" si="55"/>
        <v/>
      </c>
      <c r="L140" s="182"/>
      <c r="M140" s="146"/>
      <c r="N140" s="180"/>
      <c r="O140" s="185"/>
      <c r="P140" s="153"/>
      <c r="Q140" s="133">
        <f t="shared" si="58"/>
        <v>0</v>
      </c>
      <c r="R140" s="134">
        <f t="shared" si="59"/>
        <v>0</v>
      </c>
      <c r="S140" s="135" t="str">
        <f t="shared" si="60"/>
        <v>-</v>
      </c>
      <c r="T140" s="136" t="str">
        <f t="shared" si="61"/>
        <v>-</v>
      </c>
      <c r="U140" s="134">
        <f t="shared" si="62"/>
        <v>0</v>
      </c>
      <c r="V140" s="137">
        <f t="shared" si="63"/>
        <v>0</v>
      </c>
      <c r="W140" s="133">
        <f t="shared" si="64"/>
        <v>0</v>
      </c>
      <c r="X140" s="134">
        <f t="shared" si="65"/>
        <v>0</v>
      </c>
      <c r="Y140" s="137">
        <f t="shared" si="66"/>
        <v>0</v>
      </c>
      <c r="Z140" s="133">
        <f t="shared" si="67"/>
        <v>0</v>
      </c>
      <c r="AA140" s="138">
        <f t="shared" si="68"/>
        <v>0</v>
      </c>
      <c r="AB140" s="137">
        <f t="shared" si="69"/>
        <v>0</v>
      </c>
      <c r="AC140" s="104">
        <f t="shared" si="70"/>
        <v>0</v>
      </c>
      <c r="AD140" s="323">
        <f t="shared" si="73"/>
        <v>0</v>
      </c>
      <c r="AE140" s="325">
        <f t="shared" si="49"/>
        <v>0</v>
      </c>
      <c r="AF140" s="324">
        <f t="shared" si="50"/>
        <v>0</v>
      </c>
      <c r="AG140" s="104">
        <f t="shared" si="71"/>
        <v>0</v>
      </c>
    </row>
    <row r="141" spans="1:33" x14ac:dyDescent="0.25">
      <c r="A141" s="120">
        <f t="shared" si="72"/>
        <v>139</v>
      </c>
      <c r="B141" s="121"/>
      <c r="C141" s="122"/>
      <c r="D141" s="123"/>
      <c r="E141" s="124"/>
      <c r="F141" s="122"/>
      <c r="G141" s="125"/>
      <c r="H141" s="126">
        <f t="shared" si="57"/>
        <v>0</v>
      </c>
      <c r="I141" s="127">
        <f t="shared" si="56"/>
        <v>0</v>
      </c>
      <c r="J141" s="159"/>
      <c r="K141" s="181" t="str">
        <f t="shared" si="55"/>
        <v/>
      </c>
      <c r="L141" s="182"/>
      <c r="M141" s="146"/>
      <c r="N141" s="180"/>
      <c r="O141" s="185"/>
      <c r="P141" s="153"/>
      <c r="Q141" s="133">
        <f t="shared" si="58"/>
        <v>0</v>
      </c>
      <c r="R141" s="134">
        <f t="shared" si="59"/>
        <v>0</v>
      </c>
      <c r="S141" s="135" t="str">
        <f t="shared" si="60"/>
        <v>-</v>
      </c>
      <c r="T141" s="136" t="str">
        <f t="shared" si="61"/>
        <v>-</v>
      </c>
      <c r="U141" s="134">
        <f t="shared" si="62"/>
        <v>0</v>
      </c>
      <c r="V141" s="137">
        <f t="shared" si="63"/>
        <v>0</v>
      </c>
      <c r="W141" s="133">
        <f t="shared" si="64"/>
        <v>0</v>
      </c>
      <c r="X141" s="134">
        <f t="shared" si="65"/>
        <v>0</v>
      </c>
      <c r="Y141" s="137">
        <f t="shared" si="66"/>
        <v>0</v>
      </c>
      <c r="Z141" s="133">
        <f t="shared" si="67"/>
        <v>0</v>
      </c>
      <c r="AA141" s="138">
        <f t="shared" si="68"/>
        <v>0</v>
      </c>
      <c r="AB141" s="137">
        <f t="shared" si="69"/>
        <v>0</v>
      </c>
      <c r="AC141" s="104">
        <f t="shared" si="70"/>
        <v>0</v>
      </c>
      <c r="AD141" s="323">
        <f t="shared" si="73"/>
        <v>0</v>
      </c>
      <c r="AE141" s="325">
        <f t="shared" si="49"/>
        <v>0</v>
      </c>
      <c r="AF141" s="324">
        <f t="shared" si="50"/>
        <v>0</v>
      </c>
      <c r="AG141" s="104">
        <f t="shared" si="71"/>
        <v>0</v>
      </c>
    </row>
    <row r="142" spans="1:33" x14ac:dyDescent="0.25">
      <c r="A142" s="120">
        <f t="shared" si="72"/>
        <v>140</v>
      </c>
      <c r="B142" s="121"/>
      <c r="C142" s="122"/>
      <c r="D142" s="123"/>
      <c r="E142" s="124"/>
      <c r="F142" s="122"/>
      <c r="G142" s="125"/>
      <c r="H142" s="126">
        <f t="shared" si="57"/>
        <v>0</v>
      </c>
      <c r="I142" s="127">
        <f t="shared" si="56"/>
        <v>0</v>
      </c>
      <c r="J142" s="159"/>
      <c r="K142" s="181" t="str">
        <f t="shared" si="55"/>
        <v/>
      </c>
      <c r="L142" s="182"/>
      <c r="M142" s="146"/>
      <c r="N142" s="180"/>
      <c r="O142" s="185"/>
      <c r="P142" s="153"/>
      <c r="Q142" s="133">
        <f t="shared" si="58"/>
        <v>0</v>
      </c>
      <c r="R142" s="134">
        <f t="shared" si="59"/>
        <v>0</v>
      </c>
      <c r="S142" s="135" t="str">
        <f t="shared" si="60"/>
        <v>-</v>
      </c>
      <c r="T142" s="136" t="str">
        <f t="shared" si="61"/>
        <v>-</v>
      </c>
      <c r="U142" s="134">
        <f t="shared" si="62"/>
        <v>0</v>
      </c>
      <c r="V142" s="137">
        <f t="shared" si="63"/>
        <v>0</v>
      </c>
      <c r="W142" s="133">
        <f t="shared" si="64"/>
        <v>0</v>
      </c>
      <c r="X142" s="134">
        <f t="shared" si="65"/>
        <v>0</v>
      </c>
      <c r="Y142" s="137">
        <f t="shared" si="66"/>
        <v>0</v>
      </c>
      <c r="Z142" s="133">
        <f t="shared" si="67"/>
        <v>0</v>
      </c>
      <c r="AA142" s="138">
        <f t="shared" si="68"/>
        <v>0</v>
      </c>
      <c r="AB142" s="137">
        <f t="shared" si="69"/>
        <v>0</v>
      </c>
      <c r="AC142" s="104">
        <f t="shared" si="70"/>
        <v>0</v>
      </c>
      <c r="AD142" s="323">
        <f t="shared" si="73"/>
        <v>0</v>
      </c>
      <c r="AE142" s="325">
        <f t="shared" si="49"/>
        <v>0</v>
      </c>
      <c r="AF142" s="324">
        <f t="shared" si="50"/>
        <v>0</v>
      </c>
      <c r="AG142" s="104">
        <f t="shared" si="71"/>
        <v>0</v>
      </c>
    </row>
    <row r="143" spans="1:33" x14ac:dyDescent="0.25">
      <c r="A143" s="120">
        <f t="shared" si="72"/>
        <v>141</v>
      </c>
      <c r="B143" s="121"/>
      <c r="C143" s="122"/>
      <c r="D143" s="123"/>
      <c r="E143" s="124"/>
      <c r="F143" s="122"/>
      <c r="G143" s="125"/>
      <c r="H143" s="126">
        <f t="shared" si="57"/>
        <v>0</v>
      </c>
      <c r="I143" s="127">
        <f t="shared" si="56"/>
        <v>0</v>
      </c>
      <c r="J143" s="159"/>
      <c r="K143" s="181" t="str">
        <f t="shared" si="55"/>
        <v/>
      </c>
      <c r="L143" s="182"/>
      <c r="M143" s="146"/>
      <c r="N143" s="180"/>
      <c r="O143" s="185"/>
      <c r="P143" s="153"/>
      <c r="Q143" s="133">
        <f t="shared" si="58"/>
        <v>0</v>
      </c>
      <c r="R143" s="134">
        <f t="shared" si="59"/>
        <v>0</v>
      </c>
      <c r="S143" s="135" t="str">
        <f t="shared" si="60"/>
        <v>-</v>
      </c>
      <c r="T143" s="136" t="str">
        <f t="shared" si="61"/>
        <v>-</v>
      </c>
      <c r="U143" s="134">
        <f t="shared" si="62"/>
        <v>0</v>
      </c>
      <c r="V143" s="137">
        <f t="shared" si="63"/>
        <v>0</v>
      </c>
      <c r="W143" s="133">
        <f t="shared" si="64"/>
        <v>0</v>
      </c>
      <c r="X143" s="134">
        <f t="shared" si="65"/>
        <v>0</v>
      </c>
      <c r="Y143" s="137">
        <f t="shared" si="66"/>
        <v>0</v>
      </c>
      <c r="Z143" s="133">
        <f t="shared" si="67"/>
        <v>0</v>
      </c>
      <c r="AA143" s="138">
        <f t="shared" si="68"/>
        <v>0</v>
      </c>
      <c r="AB143" s="137">
        <f t="shared" si="69"/>
        <v>0</v>
      </c>
      <c r="AC143" s="104">
        <f t="shared" si="70"/>
        <v>0</v>
      </c>
      <c r="AD143" s="323">
        <f t="shared" si="73"/>
        <v>0</v>
      </c>
      <c r="AE143" s="325">
        <f t="shared" si="49"/>
        <v>0</v>
      </c>
      <c r="AF143" s="324">
        <f t="shared" si="50"/>
        <v>0</v>
      </c>
      <c r="AG143" s="104">
        <f t="shared" si="71"/>
        <v>0</v>
      </c>
    </row>
    <row r="144" spans="1:33" x14ac:dyDescent="0.25">
      <c r="A144" s="120">
        <f t="shared" si="72"/>
        <v>142</v>
      </c>
      <c r="B144" s="121"/>
      <c r="C144" s="122"/>
      <c r="D144" s="123"/>
      <c r="E144" s="124"/>
      <c r="F144" s="122"/>
      <c r="G144" s="125"/>
      <c r="H144" s="126">
        <f t="shared" si="57"/>
        <v>0</v>
      </c>
      <c r="I144" s="127">
        <f t="shared" si="56"/>
        <v>0</v>
      </c>
      <c r="J144" s="159"/>
      <c r="K144" s="181" t="str">
        <f t="shared" si="55"/>
        <v/>
      </c>
      <c r="L144" s="182"/>
      <c r="M144" s="146"/>
      <c r="N144" s="180"/>
      <c r="O144" s="185"/>
      <c r="P144" s="153"/>
      <c r="Q144" s="133">
        <f t="shared" si="58"/>
        <v>0</v>
      </c>
      <c r="R144" s="134">
        <f t="shared" si="59"/>
        <v>0</v>
      </c>
      <c r="S144" s="135" t="str">
        <f t="shared" si="60"/>
        <v>-</v>
      </c>
      <c r="T144" s="136" t="str">
        <f t="shared" si="61"/>
        <v>-</v>
      </c>
      <c r="U144" s="134">
        <f t="shared" si="62"/>
        <v>0</v>
      </c>
      <c r="V144" s="137">
        <f t="shared" si="63"/>
        <v>0</v>
      </c>
      <c r="W144" s="133">
        <f t="shared" si="64"/>
        <v>0</v>
      </c>
      <c r="X144" s="134">
        <f t="shared" si="65"/>
        <v>0</v>
      </c>
      <c r="Y144" s="137">
        <f t="shared" si="66"/>
        <v>0</v>
      </c>
      <c r="Z144" s="133">
        <f t="shared" si="67"/>
        <v>0</v>
      </c>
      <c r="AA144" s="138">
        <f t="shared" si="68"/>
        <v>0</v>
      </c>
      <c r="AB144" s="137">
        <f t="shared" si="69"/>
        <v>0</v>
      </c>
      <c r="AC144" s="104">
        <f t="shared" si="70"/>
        <v>0</v>
      </c>
      <c r="AD144" s="323">
        <f t="shared" si="73"/>
        <v>0</v>
      </c>
      <c r="AE144" s="325">
        <f t="shared" si="49"/>
        <v>0</v>
      </c>
      <c r="AF144" s="324">
        <f t="shared" si="50"/>
        <v>0</v>
      </c>
      <c r="AG144" s="104">
        <f t="shared" si="71"/>
        <v>0</v>
      </c>
    </row>
    <row r="145" spans="1:33" x14ac:dyDescent="0.25">
      <c r="A145" s="120">
        <f t="shared" si="72"/>
        <v>143</v>
      </c>
      <c r="B145" s="121"/>
      <c r="C145" s="122"/>
      <c r="D145" s="123"/>
      <c r="E145" s="124"/>
      <c r="F145" s="122"/>
      <c r="G145" s="125"/>
      <c r="H145" s="126">
        <f t="shared" si="57"/>
        <v>0</v>
      </c>
      <c r="I145" s="127">
        <f t="shared" si="56"/>
        <v>0</v>
      </c>
      <c r="J145" s="159"/>
      <c r="K145" s="181" t="str">
        <f t="shared" si="55"/>
        <v/>
      </c>
      <c r="L145" s="182"/>
      <c r="M145" s="146"/>
      <c r="N145" s="180"/>
      <c r="O145" s="185"/>
      <c r="P145" s="153"/>
      <c r="Q145" s="133">
        <f t="shared" si="58"/>
        <v>0</v>
      </c>
      <c r="R145" s="134">
        <f t="shared" si="59"/>
        <v>0</v>
      </c>
      <c r="S145" s="135" t="str">
        <f t="shared" si="60"/>
        <v>-</v>
      </c>
      <c r="T145" s="136" t="str">
        <f t="shared" si="61"/>
        <v>-</v>
      </c>
      <c r="U145" s="134">
        <f t="shared" si="62"/>
        <v>0</v>
      </c>
      <c r="V145" s="137">
        <f t="shared" si="63"/>
        <v>0</v>
      </c>
      <c r="W145" s="133">
        <f t="shared" si="64"/>
        <v>0</v>
      </c>
      <c r="X145" s="134">
        <f t="shared" si="65"/>
        <v>0</v>
      </c>
      <c r="Y145" s="137">
        <f t="shared" si="66"/>
        <v>0</v>
      </c>
      <c r="Z145" s="133">
        <f t="shared" si="67"/>
        <v>0</v>
      </c>
      <c r="AA145" s="138">
        <f t="shared" si="68"/>
        <v>0</v>
      </c>
      <c r="AB145" s="137">
        <f t="shared" si="69"/>
        <v>0</v>
      </c>
      <c r="AC145" s="104">
        <f t="shared" si="70"/>
        <v>0</v>
      </c>
      <c r="AD145" s="323">
        <f t="shared" si="73"/>
        <v>0</v>
      </c>
      <c r="AE145" s="325">
        <f t="shared" si="49"/>
        <v>0</v>
      </c>
      <c r="AF145" s="324">
        <f t="shared" si="50"/>
        <v>0</v>
      </c>
      <c r="AG145" s="104">
        <f t="shared" si="71"/>
        <v>0</v>
      </c>
    </row>
    <row r="146" spans="1:33" x14ac:dyDescent="0.25">
      <c r="A146" s="120">
        <f t="shared" si="72"/>
        <v>144</v>
      </c>
      <c r="B146" s="121"/>
      <c r="C146" s="122"/>
      <c r="D146" s="123"/>
      <c r="E146" s="124"/>
      <c r="F146" s="122"/>
      <c r="G146" s="125"/>
      <c r="H146" s="126">
        <f t="shared" si="57"/>
        <v>0</v>
      </c>
      <c r="I146" s="127">
        <f t="shared" si="56"/>
        <v>0</v>
      </c>
      <c r="J146" s="159"/>
      <c r="K146" s="181" t="str">
        <f t="shared" si="55"/>
        <v/>
      </c>
      <c r="L146" s="182"/>
      <c r="M146" s="146"/>
      <c r="N146" s="180"/>
      <c r="O146" s="185"/>
      <c r="P146" s="200"/>
      <c r="Q146" s="133">
        <f t="shared" si="58"/>
        <v>0</v>
      </c>
      <c r="R146" s="134">
        <f t="shared" si="59"/>
        <v>0</v>
      </c>
      <c r="S146" s="135" t="str">
        <f t="shared" si="60"/>
        <v>-</v>
      </c>
      <c r="T146" s="136" t="str">
        <f t="shared" si="61"/>
        <v>-</v>
      </c>
      <c r="U146" s="134">
        <f t="shared" si="62"/>
        <v>0</v>
      </c>
      <c r="V146" s="137">
        <f t="shared" si="63"/>
        <v>0</v>
      </c>
      <c r="W146" s="133">
        <f t="shared" si="64"/>
        <v>0</v>
      </c>
      <c r="X146" s="134">
        <f t="shared" si="65"/>
        <v>0</v>
      </c>
      <c r="Y146" s="137">
        <f t="shared" si="66"/>
        <v>0</v>
      </c>
      <c r="Z146" s="133">
        <f t="shared" si="67"/>
        <v>0</v>
      </c>
      <c r="AA146" s="138">
        <f t="shared" si="68"/>
        <v>0</v>
      </c>
      <c r="AB146" s="137">
        <f t="shared" si="69"/>
        <v>0</v>
      </c>
      <c r="AC146" s="104">
        <f t="shared" si="70"/>
        <v>0</v>
      </c>
      <c r="AD146" s="323">
        <f t="shared" si="73"/>
        <v>0</v>
      </c>
      <c r="AE146" s="325">
        <f t="shared" si="49"/>
        <v>0</v>
      </c>
      <c r="AF146" s="324">
        <f t="shared" si="50"/>
        <v>0</v>
      </c>
      <c r="AG146" s="104">
        <f t="shared" si="71"/>
        <v>0</v>
      </c>
    </row>
    <row r="147" spans="1:33" x14ac:dyDescent="0.25">
      <c r="A147" s="120">
        <f t="shared" si="72"/>
        <v>145</v>
      </c>
      <c r="B147" s="121"/>
      <c r="C147" s="122"/>
      <c r="D147" s="123"/>
      <c r="E147" s="124"/>
      <c r="F147" s="122"/>
      <c r="G147" s="125"/>
      <c r="H147" s="126">
        <f t="shared" si="57"/>
        <v>0</v>
      </c>
      <c r="I147" s="127">
        <f t="shared" si="56"/>
        <v>0</v>
      </c>
      <c r="J147" s="159"/>
      <c r="K147" s="181" t="str">
        <f t="shared" si="55"/>
        <v/>
      </c>
      <c r="L147" s="182"/>
      <c r="M147" s="146"/>
      <c r="N147" s="180"/>
      <c r="O147" s="185"/>
      <c r="Q147" s="133">
        <f t="shared" si="58"/>
        <v>0</v>
      </c>
      <c r="R147" s="134">
        <f t="shared" si="59"/>
        <v>0</v>
      </c>
      <c r="S147" s="135" t="str">
        <f t="shared" si="60"/>
        <v>-</v>
      </c>
      <c r="T147" s="136" t="str">
        <f t="shared" si="61"/>
        <v>-</v>
      </c>
      <c r="U147" s="134">
        <f t="shared" si="62"/>
        <v>0</v>
      </c>
      <c r="V147" s="137">
        <f t="shared" si="63"/>
        <v>0</v>
      </c>
      <c r="W147" s="133">
        <f t="shared" si="64"/>
        <v>0</v>
      </c>
      <c r="X147" s="134">
        <f t="shared" si="65"/>
        <v>0</v>
      </c>
      <c r="Y147" s="137">
        <f t="shared" si="66"/>
        <v>0</v>
      </c>
      <c r="Z147" s="133">
        <f t="shared" si="67"/>
        <v>0</v>
      </c>
      <c r="AA147" s="138">
        <f t="shared" si="68"/>
        <v>0</v>
      </c>
      <c r="AB147" s="137">
        <f t="shared" si="69"/>
        <v>0</v>
      </c>
      <c r="AC147" s="104">
        <f t="shared" si="70"/>
        <v>0</v>
      </c>
      <c r="AD147" s="323">
        <f t="shared" si="73"/>
        <v>0</v>
      </c>
      <c r="AE147" s="325">
        <f t="shared" ref="AE147:AE150" si="74">IF(X147&lt;&gt;0,$H147,0)</f>
        <v>0</v>
      </c>
      <c r="AF147" s="324">
        <f t="shared" ref="AF147:AF150" si="75">IF(Y147&lt;&gt;0,$H147,0)</f>
        <v>0</v>
      </c>
      <c r="AG147" s="104">
        <f t="shared" si="71"/>
        <v>0</v>
      </c>
    </row>
    <row r="148" spans="1:33" x14ac:dyDescent="0.25">
      <c r="A148" s="120">
        <f t="shared" si="72"/>
        <v>146</v>
      </c>
      <c r="B148" s="121"/>
      <c r="C148" s="122"/>
      <c r="D148" s="123"/>
      <c r="E148" s="124"/>
      <c r="F148" s="122"/>
      <c r="G148" s="125"/>
      <c r="H148" s="126">
        <f t="shared" si="57"/>
        <v>0</v>
      </c>
      <c r="I148" s="127">
        <f t="shared" si="56"/>
        <v>0</v>
      </c>
      <c r="J148" s="159"/>
      <c r="K148" s="181" t="str">
        <f t="shared" si="55"/>
        <v/>
      </c>
      <c r="L148" s="182"/>
      <c r="M148" s="146"/>
      <c r="N148" s="180"/>
      <c r="O148" s="185"/>
      <c r="Q148" s="133">
        <f t="shared" si="58"/>
        <v>0</v>
      </c>
      <c r="R148" s="134">
        <f t="shared" si="59"/>
        <v>0</v>
      </c>
      <c r="S148" s="135" t="str">
        <f t="shared" si="60"/>
        <v>-</v>
      </c>
      <c r="T148" s="136" t="str">
        <f t="shared" si="61"/>
        <v>-</v>
      </c>
      <c r="U148" s="134">
        <f t="shared" si="62"/>
        <v>0</v>
      </c>
      <c r="V148" s="137">
        <f t="shared" si="63"/>
        <v>0</v>
      </c>
      <c r="W148" s="133">
        <f t="shared" si="64"/>
        <v>0</v>
      </c>
      <c r="X148" s="134">
        <f t="shared" si="65"/>
        <v>0</v>
      </c>
      <c r="Y148" s="137">
        <f t="shared" si="66"/>
        <v>0</v>
      </c>
      <c r="Z148" s="133">
        <f t="shared" si="67"/>
        <v>0</v>
      </c>
      <c r="AA148" s="138">
        <f t="shared" si="68"/>
        <v>0</v>
      </c>
      <c r="AB148" s="137">
        <f t="shared" si="69"/>
        <v>0</v>
      </c>
      <c r="AC148" s="104">
        <f t="shared" si="70"/>
        <v>0</v>
      </c>
      <c r="AD148" s="323">
        <f t="shared" si="73"/>
        <v>0</v>
      </c>
      <c r="AE148" s="325">
        <f t="shared" si="74"/>
        <v>0</v>
      </c>
      <c r="AF148" s="324">
        <f t="shared" si="75"/>
        <v>0</v>
      </c>
      <c r="AG148" s="104">
        <f t="shared" si="71"/>
        <v>0</v>
      </c>
    </row>
    <row r="149" spans="1:33" x14ac:dyDescent="0.25">
      <c r="A149" s="120">
        <f t="shared" si="72"/>
        <v>147</v>
      </c>
      <c r="B149" s="121"/>
      <c r="C149" s="122"/>
      <c r="D149" s="123"/>
      <c r="E149" s="124"/>
      <c r="F149" s="122"/>
      <c r="G149" s="125"/>
      <c r="H149" s="126">
        <f t="shared" si="57"/>
        <v>0</v>
      </c>
      <c r="I149" s="127">
        <f t="shared" si="56"/>
        <v>0</v>
      </c>
      <c r="J149" s="159"/>
      <c r="K149" s="181" t="str">
        <f t="shared" si="55"/>
        <v/>
      </c>
      <c r="L149" s="182"/>
      <c r="M149" s="146"/>
      <c r="N149" s="180"/>
      <c r="O149" s="185"/>
      <c r="Q149" s="133">
        <f t="shared" si="58"/>
        <v>0</v>
      </c>
      <c r="R149" s="134">
        <f t="shared" si="59"/>
        <v>0</v>
      </c>
      <c r="S149" s="135" t="str">
        <f t="shared" si="60"/>
        <v>-</v>
      </c>
      <c r="T149" s="136" t="str">
        <f t="shared" si="61"/>
        <v>-</v>
      </c>
      <c r="U149" s="134">
        <f t="shared" si="62"/>
        <v>0</v>
      </c>
      <c r="V149" s="137">
        <f t="shared" si="63"/>
        <v>0</v>
      </c>
      <c r="W149" s="133">
        <f t="shared" si="64"/>
        <v>0</v>
      </c>
      <c r="X149" s="134">
        <f t="shared" si="65"/>
        <v>0</v>
      </c>
      <c r="Y149" s="137">
        <f t="shared" si="66"/>
        <v>0</v>
      </c>
      <c r="Z149" s="133">
        <f t="shared" si="67"/>
        <v>0</v>
      </c>
      <c r="AA149" s="138">
        <f t="shared" si="68"/>
        <v>0</v>
      </c>
      <c r="AB149" s="137">
        <f t="shared" si="69"/>
        <v>0</v>
      </c>
      <c r="AC149" s="104">
        <f t="shared" si="70"/>
        <v>0</v>
      </c>
      <c r="AD149" s="323">
        <f t="shared" si="73"/>
        <v>0</v>
      </c>
      <c r="AE149" s="325">
        <f t="shared" si="74"/>
        <v>0</v>
      </c>
      <c r="AF149" s="324">
        <f t="shared" si="75"/>
        <v>0</v>
      </c>
      <c r="AG149" s="104">
        <f t="shared" si="71"/>
        <v>0</v>
      </c>
    </row>
    <row r="150" spans="1:33" x14ac:dyDescent="0.25">
      <c r="A150" s="120">
        <f t="shared" si="72"/>
        <v>148</v>
      </c>
      <c r="B150" s="121"/>
      <c r="C150" s="122"/>
      <c r="D150" s="123"/>
      <c r="E150" s="124"/>
      <c r="F150" s="122"/>
      <c r="G150" s="125"/>
      <c r="H150" s="126">
        <f t="shared" si="57"/>
        <v>0</v>
      </c>
      <c r="I150" s="127">
        <f t="shared" si="56"/>
        <v>0</v>
      </c>
      <c r="J150" s="159"/>
      <c r="K150" s="181" t="str">
        <f t="shared" si="55"/>
        <v/>
      </c>
      <c r="L150" s="182"/>
      <c r="M150" s="146"/>
      <c r="N150" s="180"/>
      <c r="O150" s="185"/>
      <c r="Q150" s="133">
        <f t="shared" si="58"/>
        <v>0</v>
      </c>
      <c r="R150" s="134">
        <f t="shared" si="59"/>
        <v>0</v>
      </c>
      <c r="S150" s="135" t="str">
        <f t="shared" si="60"/>
        <v>-</v>
      </c>
      <c r="T150" s="136" t="str">
        <f t="shared" si="61"/>
        <v>-</v>
      </c>
      <c r="U150" s="134">
        <f t="shared" si="62"/>
        <v>0</v>
      </c>
      <c r="V150" s="137">
        <f t="shared" si="63"/>
        <v>0</v>
      </c>
      <c r="W150" s="133">
        <f t="shared" si="64"/>
        <v>0</v>
      </c>
      <c r="X150" s="134">
        <f t="shared" si="65"/>
        <v>0</v>
      </c>
      <c r="Y150" s="137">
        <f t="shared" si="66"/>
        <v>0</v>
      </c>
      <c r="Z150" s="133">
        <f t="shared" si="67"/>
        <v>0</v>
      </c>
      <c r="AA150" s="138">
        <f t="shared" si="68"/>
        <v>0</v>
      </c>
      <c r="AB150" s="137">
        <f t="shared" si="69"/>
        <v>0</v>
      </c>
      <c r="AC150" s="104">
        <f t="shared" si="70"/>
        <v>0</v>
      </c>
      <c r="AD150" s="323">
        <f t="shared" si="73"/>
        <v>0</v>
      </c>
      <c r="AE150" s="325">
        <f t="shared" si="74"/>
        <v>0</v>
      </c>
      <c r="AF150" s="324">
        <f t="shared" si="75"/>
        <v>0</v>
      </c>
      <c r="AG150" s="104">
        <f t="shared" si="71"/>
        <v>0</v>
      </c>
    </row>
    <row r="151" spans="1:33" x14ac:dyDescent="0.25">
      <c r="A151" s="120">
        <f t="shared" si="72"/>
        <v>149</v>
      </c>
      <c r="B151" s="121"/>
      <c r="C151" s="122"/>
      <c r="D151" s="123"/>
      <c r="E151" s="124"/>
      <c r="F151" s="122"/>
      <c r="G151" s="125"/>
      <c r="H151" s="126">
        <f t="shared" si="57"/>
        <v>0</v>
      </c>
      <c r="I151" s="127">
        <f t="shared" si="56"/>
        <v>0</v>
      </c>
      <c r="J151" s="159"/>
      <c r="K151" s="181" t="str">
        <f t="shared" si="55"/>
        <v/>
      </c>
      <c r="L151" s="182"/>
      <c r="M151" s="146"/>
      <c r="N151" s="180"/>
      <c r="O151" s="185"/>
      <c r="Q151" s="133">
        <f t="shared" si="58"/>
        <v>0</v>
      </c>
      <c r="R151" s="134">
        <f t="shared" si="59"/>
        <v>0</v>
      </c>
      <c r="S151" s="135" t="str">
        <f t="shared" si="60"/>
        <v>-</v>
      </c>
      <c r="T151" s="136" t="str">
        <f t="shared" si="61"/>
        <v>-</v>
      </c>
      <c r="U151" s="134">
        <f t="shared" si="62"/>
        <v>0</v>
      </c>
      <c r="V151" s="137">
        <f t="shared" si="63"/>
        <v>0</v>
      </c>
      <c r="W151" s="133">
        <f t="shared" si="64"/>
        <v>0</v>
      </c>
      <c r="X151" s="134">
        <f t="shared" si="65"/>
        <v>0</v>
      </c>
      <c r="Y151" s="137">
        <f t="shared" si="66"/>
        <v>0</v>
      </c>
      <c r="Z151" s="133">
        <f t="shared" si="67"/>
        <v>0</v>
      </c>
      <c r="AA151" s="138">
        <f t="shared" si="68"/>
        <v>0</v>
      </c>
      <c r="AB151" s="137">
        <f t="shared" si="69"/>
        <v>0</v>
      </c>
      <c r="AC151" s="104">
        <f t="shared" si="70"/>
        <v>0</v>
      </c>
      <c r="AD151" s="323">
        <f t="shared" ref="AD151:AD152" si="76">IF(W151&lt;&gt;0,$H151,0)</f>
        <v>0</v>
      </c>
      <c r="AE151" s="325">
        <f t="shared" ref="AE151:AE152" si="77">IF(X151&lt;&gt;0,$H151,0)</f>
        <v>0</v>
      </c>
      <c r="AF151" s="324">
        <f t="shared" ref="AF151:AF152" si="78">IF(Y151&lt;&gt;0,$H151,0)</f>
        <v>0</v>
      </c>
      <c r="AG151" s="104">
        <f t="shared" si="71"/>
        <v>0</v>
      </c>
    </row>
    <row r="152" spans="1:33" s="142" customFormat="1" x14ac:dyDescent="0.25">
      <c r="A152" s="186">
        <f t="shared" si="72"/>
        <v>150</v>
      </c>
      <c r="B152" s="187"/>
      <c r="C152" s="188"/>
      <c r="D152" s="189"/>
      <c r="E152" s="190"/>
      <c r="F152" s="188"/>
      <c r="G152" s="191"/>
      <c r="H152" s="192">
        <f t="shared" si="57"/>
        <v>0</v>
      </c>
      <c r="I152" s="193">
        <f t="shared" si="56"/>
        <v>0</v>
      </c>
      <c r="J152" s="194"/>
      <c r="K152" s="195" t="str">
        <f t="shared" si="55"/>
        <v/>
      </c>
      <c r="L152" s="196"/>
      <c r="M152" s="197"/>
      <c r="N152" s="198"/>
      <c r="O152" s="199"/>
      <c r="P152" s="95"/>
      <c r="Q152" s="201">
        <f t="shared" si="58"/>
        <v>0</v>
      </c>
      <c r="R152" s="202">
        <f t="shared" si="59"/>
        <v>0</v>
      </c>
      <c r="S152" s="203" t="str">
        <f t="shared" si="60"/>
        <v>-</v>
      </c>
      <c r="T152" s="204" t="str">
        <f t="shared" si="61"/>
        <v>-</v>
      </c>
      <c r="U152" s="134">
        <f t="shared" si="62"/>
        <v>0</v>
      </c>
      <c r="V152" s="205">
        <f t="shared" si="63"/>
        <v>0</v>
      </c>
      <c r="W152" s="201">
        <f t="shared" si="64"/>
        <v>0</v>
      </c>
      <c r="X152" s="202">
        <f t="shared" si="65"/>
        <v>0</v>
      </c>
      <c r="Y152" s="205">
        <f t="shared" si="66"/>
        <v>0</v>
      </c>
      <c r="Z152" s="201">
        <f t="shared" si="67"/>
        <v>0</v>
      </c>
      <c r="AA152" s="202">
        <f t="shared" si="68"/>
        <v>0</v>
      </c>
      <c r="AB152" s="205">
        <f t="shared" si="69"/>
        <v>0</v>
      </c>
      <c r="AC152" s="206">
        <f t="shared" si="70"/>
        <v>0</v>
      </c>
      <c r="AD152" s="323">
        <f t="shared" si="76"/>
        <v>0</v>
      </c>
      <c r="AE152" s="325">
        <f t="shared" si="77"/>
        <v>0</v>
      </c>
      <c r="AF152" s="324">
        <f t="shared" si="78"/>
        <v>0</v>
      </c>
      <c r="AG152" s="206">
        <f t="shared" si="71"/>
        <v>0</v>
      </c>
    </row>
    <row r="153" spans="1:33" hidden="1" x14ac:dyDescent="0.25">
      <c r="J153" s="214"/>
    </row>
    <row r="154" spans="1:33" hidden="1" x14ac:dyDescent="0.25"/>
    <row r="155" spans="1:33" hidden="1" x14ac:dyDescent="0.25"/>
    <row r="156" spans="1:33" hidden="1" x14ac:dyDescent="0.25"/>
    <row r="157" spans="1:33" hidden="1" x14ac:dyDescent="0.25"/>
    <row r="158" spans="1:33" hidden="1" x14ac:dyDescent="0.25"/>
    <row r="159" spans="1:33" hidden="1" x14ac:dyDescent="0.25"/>
    <row r="160" spans="1:33" hidden="1" x14ac:dyDescent="0.25"/>
    <row r="161" hidden="1" x14ac:dyDescent="0.25"/>
    <row r="162" hidden="1" x14ac:dyDescent="0.25"/>
    <row r="163" hidden="1" x14ac:dyDescent="0.25"/>
    <row r="164" hidden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</sheetData>
  <sheetProtection sheet="1" objects="1" scenarios="1" formatColumns="0" formatRows="0" insertColumns="0"/>
  <conditionalFormatting sqref="H1:H1048576">
    <cfRule type="expression" dxfId="3" priority="1">
      <formula>ISERROR(H1)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6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"/>
  <sheetViews>
    <sheetView zoomScaleNormal="100" workbookViewId="0">
      <selection activeCell="AU2" sqref="AU2"/>
    </sheetView>
  </sheetViews>
  <sheetFormatPr defaultColWidth="9.140625" defaultRowHeight="15" customHeight="1" zeroHeight="1" x14ac:dyDescent="0.25"/>
  <cols>
    <col min="1" max="1" width="3.7109375" customWidth="1"/>
    <col min="2" max="2" width="10.7109375" customWidth="1"/>
    <col min="3" max="3" width="7.7109375" customWidth="1"/>
    <col min="4" max="22" width="6.140625" style="224" customWidth="1"/>
    <col min="23" max="23" width="2.28515625" customWidth="1"/>
    <col min="24" max="24" width="3.7109375" customWidth="1"/>
    <col min="25" max="25" width="10.5703125" bestFit="1" customWidth="1"/>
    <col min="26" max="26" width="7.7109375" customWidth="1"/>
    <col min="27" max="45" width="6.140625" customWidth="1"/>
    <col min="46" max="46" width="2.28515625" customWidth="1"/>
    <col min="47" max="47" width="3.7109375" customWidth="1"/>
    <col min="48" max="48" width="10.7109375" customWidth="1"/>
    <col min="49" max="49" width="7.7109375" customWidth="1"/>
    <col min="50" max="68" width="6.140625" customWidth="1"/>
    <col min="69" max="69" width="2.28515625" customWidth="1"/>
    <col min="70" max="70" width="3.7109375" customWidth="1"/>
    <col min="71" max="71" width="10.5703125" bestFit="1" customWidth="1"/>
    <col min="72" max="72" width="7.7109375" customWidth="1"/>
    <col min="73" max="91" width="6.140625" customWidth="1"/>
  </cols>
  <sheetData>
    <row r="1" spans="1:91" ht="33.75" x14ac:dyDescent="0.5">
      <c r="A1" s="223" t="str">
        <f>"Vlootplan "&amp;IF(Kentallen!$D$2="",Kentallen!$F$2,Kentallen!$D$2)</f>
        <v>Vlootplan RV Naarden</v>
      </c>
      <c r="W1" s="225"/>
      <c r="X1" s="223" t="str">
        <f>"Voorstel vlootaanpassing "&amp;IF(Kentallen!$D$2="",Kentallen!$F$2,Kentallen!$D$2)</f>
        <v>Voorstel vlootaanpassing RV Naarden</v>
      </c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U1" s="223" t="str">
        <f>"Vlootgebruik "&amp;IF(Kentallen!$D$2="",Kentallen!$F$2,Kentallen!$D$2)</f>
        <v>Vlootgebruik RV Naarden</v>
      </c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R1" s="223" t="str">
        <f>"Roeisorties leden "&amp;IF(Kentallen!$D$2="",Kentallen!$F$2,Kentallen!$D$2)</f>
        <v>Roeisorties leden RV Naarden</v>
      </c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</row>
    <row r="2" spans="1:91" s="92" customFormat="1" ht="15" customHeight="1" x14ac:dyDescent="0.25">
      <c r="A2" s="226" t="s">
        <v>348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X2" s="226" t="s">
        <v>349</v>
      </c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U2" s="226" t="s">
        <v>478</v>
      </c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R2" s="226" t="s">
        <v>350</v>
      </c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</row>
    <row r="3" spans="1:91" x14ac:dyDescent="0.25">
      <c r="C3" s="69"/>
      <c r="D3" s="69"/>
      <c r="Z3" s="69"/>
      <c r="AA3" s="69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W3" s="69"/>
      <c r="AX3" s="69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T3" s="69"/>
      <c r="BU3" s="69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</row>
    <row r="4" spans="1:91" s="228" customFormat="1" x14ac:dyDescent="0.25">
      <c r="A4" s="228" t="s">
        <v>200</v>
      </c>
      <c r="C4" s="228" t="s">
        <v>351</v>
      </c>
      <c r="D4" s="229" t="s">
        <v>213</v>
      </c>
      <c r="E4" s="229" t="s">
        <v>219</v>
      </c>
      <c r="F4" s="229" t="s">
        <v>242</v>
      </c>
      <c r="G4" s="229" t="s">
        <v>410</v>
      </c>
      <c r="H4" s="229" t="s">
        <v>319</v>
      </c>
      <c r="I4" s="229" t="s">
        <v>314</v>
      </c>
      <c r="J4" s="229" t="s">
        <v>304</v>
      </c>
      <c r="K4" s="229" t="s">
        <v>207</v>
      </c>
      <c r="L4" s="229" t="s">
        <v>271</v>
      </c>
      <c r="M4" s="229" t="s">
        <v>300</v>
      </c>
      <c r="N4" s="229" t="s">
        <v>310</v>
      </c>
      <c r="O4" s="229" t="s">
        <v>291</v>
      </c>
      <c r="P4" s="229" t="s">
        <v>278</v>
      </c>
      <c r="Q4" s="229" t="s">
        <v>327</v>
      </c>
      <c r="R4" s="229" t="s">
        <v>223</v>
      </c>
      <c r="S4" s="229" t="s">
        <v>280</v>
      </c>
      <c r="T4" s="229" t="s">
        <v>258</v>
      </c>
      <c r="U4" s="229" t="s">
        <v>342</v>
      </c>
      <c r="V4" s="229" t="s">
        <v>341</v>
      </c>
      <c r="X4" s="228" t="s">
        <v>200</v>
      </c>
      <c r="Z4" s="228" t="s">
        <v>351</v>
      </c>
      <c r="AA4" s="229" t="str">
        <f>D4</f>
        <v>1x</v>
      </c>
      <c r="AB4" s="229" t="str">
        <f t="shared" ref="AB4:AS4" si="0">E4</f>
        <v>2x</v>
      </c>
      <c r="AC4" s="229" t="str">
        <f t="shared" si="0"/>
        <v>4x+</v>
      </c>
      <c r="AD4" s="229" t="str">
        <f t="shared" si="0"/>
        <v>4x</v>
      </c>
      <c r="AE4" s="229" t="str">
        <f t="shared" si="0"/>
        <v>2-</v>
      </c>
      <c r="AF4" s="229" t="str">
        <f t="shared" si="0"/>
        <v>2+</v>
      </c>
      <c r="AG4" s="229" t="str">
        <f t="shared" si="0"/>
        <v>4-</v>
      </c>
      <c r="AH4" s="229" t="str">
        <f t="shared" si="0"/>
        <v>4+</v>
      </c>
      <c r="AI4" s="229" t="str">
        <f t="shared" si="0"/>
        <v>8+</v>
      </c>
      <c r="AJ4" s="229" t="str">
        <f t="shared" si="0"/>
        <v>C1x</v>
      </c>
      <c r="AK4" s="229" t="str">
        <f t="shared" si="0"/>
        <v>C2x</v>
      </c>
      <c r="AL4" s="229" t="str">
        <f t="shared" si="0"/>
        <v>C2x+</v>
      </c>
      <c r="AM4" s="229" t="str">
        <f t="shared" si="0"/>
        <v>C4x+</v>
      </c>
      <c r="AN4" s="229" t="str">
        <f t="shared" si="0"/>
        <v>C2+</v>
      </c>
      <c r="AO4" s="229" t="str">
        <f t="shared" si="0"/>
        <v>C4+</v>
      </c>
      <c r="AP4" s="229" t="str">
        <f t="shared" si="0"/>
        <v>W1x+</v>
      </c>
      <c r="AQ4" s="229" t="str">
        <f t="shared" si="0"/>
        <v>W2x+</v>
      </c>
      <c r="AR4" s="229" t="str">
        <f t="shared" si="0"/>
        <v>W2+</v>
      </c>
      <c r="AS4" s="229" t="str">
        <f t="shared" si="0"/>
        <v>W4+</v>
      </c>
      <c r="AU4" s="228" t="s">
        <v>200</v>
      </c>
      <c r="AW4" s="228" t="s">
        <v>351</v>
      </c>
      <c r="AX4" s="229" t="str">
        <f>AA4</f>
        <v>1x</v>
      </c>
      <c r="AY4" s="229" t="str">
        <f t="shared" ref="AY4" si="1">AB4</f>
        <v>2x</v>
      </c>
      <c r="AZ4" s="229" t="str">
        <f t="shared" ref="AZ4" si="2">AC4</f>
        <v>4x+</v>
      </c>
      <c r="BA4" s="229" t="str">
        <f t="shared" ref="BA4" si="3">AD4</f>
        <v>4x</v>
      </c>
      <c r="BB4" s="229" t="str">
        <f t="shared" ref="BB4" si="4">AE4</f>
        <v>2-</v>
      </c>
      <c r="BC4" s="229" t="str">
        <f t="shared" ref="BC4" si="5">AF4</f>
        <v>2+</v>
      </c>
      <c r="BD4" s="229" t="str">
        <f t="shared" ref="BD4" si="6">AG4</f>
        <v>4-</v>
      </c>
      <c r="BE4" s="229" t="str">
        <f t="shared" ref="BE4" si="7">AH4</f>
        <v>4+</v>
      </c>
      <c r="BF4" s="229" t="str">
        <f t="shared" ref="BF4" si="8">AI4</f>
        <v>8+</v>
      </c>
      <c r="BG4" s="229" t="str">
        <f t="shared" ref="BG4" si="9">AJ4</f>
        <v>C1x</v>
      </c>
      <c r="BH4" s="229" t="str">
        <f t="shared" ref="BH4" si="10">AK4</f>
        <v>C2x</v>
      </c>
      <c r="BI4" s="229" t="str">
        <f t="shared" ref="BI4" si="11">AL4</f>
        <v>C2x+</v>
      </c>
      <c r="BJ4" s="229" t="str">
        <f t="shared" ref="BJ4" si="12">AM4</f>
        <v>C4x+</v>
      </c>
      <c r="BK4" s="229" t="str">
        <f t="shared" ref="BK4" si="13">AN4</f>
        <v>C2+</v>
      </c>
      <c r="BL4" s="229" t="str">
        <f t="shared" ref="BL4" si="14">AO4</f>
        <v>C4+</v>
      </c>
      <c r="BM4" s="229" t="str">
        <f t="shared" ref="BM4" si="15">AP4</f>
        <v>W1x+</v>
      </c>
      <c r="BN4" s="229" t="str">
        <f t="shared" ref="BN4" si="16">AQ4</f>
        <v>W2x+</v>
      </c>
      <c r="BO4" s="229" t="str">
        <f t="shared" ref="BO4" si="17">AR4</f>
        <v>W2+</v>
      </c>
      <c r="BP4" s="229" t="str">
        <f t="shared" ref="BP4" si="18">AS4</f>
        <v>W4+</v>
      </c>
      <c r="BR4" s="228" t="s">
        <v>200</v>
      </c>
      <c r="BT4" s="228" t="s">
        <v>351</v>
      </c>
      <c r="BU4" s="229" t="str">
        <f>AX4</f>
        <v>1x</v>
      </c>
      <c r="BV4" s="229" t="str">
        <f t="shared" ref="BV4" si="19">AY4</f>
        <v>2x</v>
      </c>
      <c r="BW4" s="229" t="str">
        <f t="shared" ref="BW4" si="20">AZ4</f>
        <v>4x+</v>
      </c>
      <c r="BX4" s="229" t="str">
        <f t="shared" ref="BX4" si="21">BA4</f>
        <v>4x</v>
      </c>
      <c r="BY4" s="229" t="str">
        <f t="shared" ref="BY4" si="22">BB4</f>
        <v>2-</v>
      </c>
      <c r="BZ4" s="229" t="str">
        <f t="shared" ref="BZ4" si="23">BC4</f>
        <v>2+</v>
      </c>
      <c r="CA4" s="229" t="str">
        <f t="shared" ref="CA4" si="24">BD4</f>
        <v>4-</v>
      </c>
      <c r="CB4" s="229" t="str">
        <f t="shared" ref="CB4" si="25">BE4</f>
        <v>4+</v>
      </c>
      <c r="CC4" s="229" t="str">
        <f t="shared" ref="CC4" si="26">BF4</f>
        <v>8+</v>
      </c>
      <c r="CD4" s="229" t="str">
        <f t="shared" ref="CD4" si="27">BG4</f>
        <v>C1x</v>
      </c>
      <c r="CE4" s="229" t="str">
        <f t="shared" ref="CE4" si="28">BH4</f>
        <v>C2x</v>
      </c>
      <c r="CF4" s="229" t="str">
        <f t="shared" ref="CF4" si="29">BI4</f>
        <v>C2x+</v>
      </c>
      <c r="CG4" s="229" t="str">
        <f t="shared" ref="CG4" si="30">BJ4</f>
        <v>C4x+</v>
      </c>
      <c r="CH4" s="229" t="str">
        <f t="shared" ref="CH4" si="31">BK4</f>
        <v>C2+</v>
      </c>
      <c r="CI4" s="229" t="str">
        <f t="shared" ref="CI4" si="32">BL4</f>
        <v>C4+</v>
      </c>
      <c r="CJ4" s="229" t="str">
        <f t="shared" ref="CJ4" si="33">BM4</f>
        <v>W1x+</v>
      </c>
      <c r="CK4" s="229" t="str">
        <f t="shared" ref="CK4" si="34">BN4</f>
        <v>W2x+</v>
      </c>
      <c r="CL4" s="229" t="str">
        <f t="shared" ref="CL4" si="35">BO4</f>
        <v>W2+</v>
      </c>
      <c r="CM4" s="229" t="str">
        <f t="shared" ref="CM4" si="36">BP4</f>
        <v>W4+</v>
      </c>
    </row>
    <row r="5" spans="1:91" x14ac:dyDescent="0.25">
      <c r="A5" s="228" t="s">
        <v>353</v>
      </c>
      <c r="B5" s="230" t="s">
        <v>354</v>
      </c>
      <c r="C5" s="231" t="s">
        <v>355</v>
      </c>
      <c r="D5" s="232">
        <f>COUNTIFS(Hulptabel!$B$3:$B$152,Vlootplan!$A5,Hulptabel!$D$3:$D$152,Vlootplan!D$4)</f>
        <v>0</v>
      </c>
      <c r="E5" s="233">
        <f>COUNTIFS(Hulptabel!$B$3:$B$152,Vlootplan!$A5,Hulptabel!$D$3:$D$152,Vlootplan!E$4)</f>
        <v>0</v>
      </c>
      <c r="F5" s="233">
        <f>COUNTIFS(Hulptabel!$B$3:$B$152,Vlootplan!$A5,Hulptabel!$D$3:$D$152,Vlootplan!F$4)</f>
        <v>0</v>
      </c>
      <c r="G5" s="234">
        <f>COUNTIFS(Hulptabel!$B$3:$B$152,Vlootplan!$A5,Hulptabel!$D$3:$D$152,Vlootplan!G$4)</f>
        <v>0</v>
      </c>
      <c r="H5" s="232">
        <f>COUNTIFS(Hulptabel!$B$3:$B$152,Vlootplan!$A5,Hulptabel!$D$3:$D$152,Vlootplan!H$4)</f>
        <v>0</v>
      </c>
      <c r="I5" s="233">
        <f>COUNTIFS(Hulptabel!$B$3:$B$152,Vlootplan!$A5,Hulptabel!$D$3:$D$152,Vlootplan!I$4)</f>
        <v>0</v>
      </c>
      <c r="J5" s="233">
        <f>COUNTIFS(Hulptabel!$B$3:$B$152,Vlootplan!$A5,Hulptabel!$D$3:$D$152,Vlootplan!J$4)</f>
        <v>0</v>
      </c>
      <c r="K5" s="233">
        <f>COUNTIFS(Hulptabel!$B$3:$B$152,Vlootplan!$A5,Hulptabel!$D$3:$D$152,Vlootplan!K$4)</f>
        <v>0</v>
      </c>
      <c r="L5" s="235">
        <f>COUNTIFS(Hulptabel!$B$3:$B$152,Vlootplan!$A5,Hulptabel!$D$3:$D$152,Vlootplan!L$4)</f>
        <v>0</v>
      </c>
      <c r="M5" s="595">
        <f>COUNTIFS(Hulptabel!$B$3:$B$152,1,Hulptabel!$D$3:$D$152,Vlootplan!M$4)</f>
        <v>0</v>
      </c>
      <c r="N5" s="607">
        <f>COUNTIFS(Hulptabel!$B$3:$B$152,1,Hulptabel!$D$3:$D$152,Vlootplan!N$4)</f>
        <v>0</v>
      </c>
      <c r="O5" s="607">
        <f>COUNTIFS(Hulptabel!$B$3:$B$152,1,Hulptabel!$D$3:$D$152,Vlootplan!O$4)</f>
        <v>0</v>
      </c>
      <c r="P5" s="610">
        <f>COUNTIFS(Hulptabel!$B$3:$B$152,1,Hulptabel!$D$3:$D$152,Vlootplan!P$4)</f>
        <v>0</v>
      </c>
      <c r="Q5" s="595">
        <f>COUNTIFS(Hulptabel!$B$3:$B$152,1,Hulptabel!$D$3:$D$152,Vlootplan!Q$4)</f>
        <v>0</v>
      </c>
      <c r="R5" s="610">
        <f>COUNTIFS(Hulptabel!$B$3:$B$152,1,Hulptabel!$D$3:$D$152,Vlootplan!R$4)</f>
        <v>0</v>
      </c>
      <c r="S5" s="595">
        <f>COUNTIFS(Hulptabel!$B$3:$B$152,1,Hulptabel!$D$3:$D$152,Vlootplan!S$4)</f>
        <v>0</v>
      </c>
      <c r="T5" s="598">
        <f>COUNTIFS(Hulptabel!$B$3:$B$152,1,Hulptabel!$D$3:$D$152,Vlootplan!T$4)</f>
        <v>0</v>
      </c>
      <c r="U5" s="601">
        <f>COUNTIFS(Hulptabel!$B$3:$B$152,1,Hulptabel!$D$3:$D$152,Vlootplan!U$4)</f>
        <v>0</v>
      </c>
      <c r="V5" s="604">
        <f>COUNTIFS(Hulptabel!$B$3:$B$152,1,Hulptabel!$D$3:$D$152,Vlootplan!V$4)</f>
        <v>0</v>
      </c>
      <c r="W5" s="236"/>
      <c r="X5" s="228" t="s">
        <v>353</v>
      </c>
      <c r="Y5" s="230" t="s">
        <v>354</v>
      </c>
      <c r="Z5" s="231" t="s">
        <v>355</v>
      </c>
      <c r="AA5" s="355">
        <f>IF(Deler=0,0,(SUMIFS(Hulptabel!$G$3:$G$152,Hulptabel!$B$3:$B$152,Vlootplan!$X5,Hulptabel!$D$3:$D$152,Vlootplan!AA$4)/Deler)-D5)</f>
        <v>0</v>
      </c>
      <c r="AB5" s="356">
        <f>IF(Deler=0,0,(SUMIFS(Hulptabel!$G$3:$G$152,Hulptabel!$B$3:$B$152,Vlootplan!$X5,Hulptabel!$D$3:$D$152,Vlootplan!AB$4)/Deler)-E5)</f>
        <v>0</v>
      </c>
      <c r="AC5" s="356">
        <f>IF(Deler=0,0,(SUMIFS(Hulptabel!$G$3:$G$152,Hulptabel!$B$3:$B$152,Vlootplan!$X5,Hulptabel!$D$3:$D$152,Vlootplan!AC$4)/Deler)-F5)</f>
        <v>0</v>
      </c>
      <c r="AD5" s="357">
        <f>IF(Deler=0,0,(SUMIFS(Hulptabel!$G$3:$G$152,Hulptabel!$B$3:$B$152,Vlootplan!$X5,Hulptabel!$D$3:$D$152,Vlootplan!AD$4)/Deler)-G5)</f>
        <v>0</v>
      </c>
      <c r="AE5" s="355">
        <f>IF(Deler=0,0,(SUMIFS(Hulptabel!$G$3:$G$152,Hulptabel!$B$3:$B$152,Vlootplan!$X5,Hulptabel!$D$3:$D$152,Vlootplan!AE$4)/Deler)-H5)</f>
        <v>0</v>
      </c>
      <c r="AF5" s="356">
        <f>IF(Deler=0,0,(SUMIFS(Hulptabel!$G$3:$G$152,Hulptabel!$B$3:$B$152,Vlootplan!$X5,Hulptabel!$D$3:$D$152,Vlootplan!AF$4)/Deler)-I5)</f>
        <v>0</v>
      </c>
      <c r="AG5" s="356">
        <f>IF(Deler=0,0,(SUMIFS(Hulptabel!$G$3:$G$152,Hulptabel!$B$3:$B$152,Vlootplan!$X5,Hulptabel!$D$3:$D$152,Vlootplan!AG$4)/Deler)-J5)</f>
        <v>0</v>
      </c>
      <c r="AH5" s="356">
        <f>IF(Deler=0,0,(SUMIFS(Hulptabel!$G$3:$G$152,Hulptabel!$B$3:$B$152,Vlootplan!$X5,Hulptabel!$D$3:$D$152,Vlootplan!AH$4)/Deler)-K5)</f>
        <v>0</v>
      </c>
      <c r="AI5" s="358">
        <f>IF(Deler=0,0,(SUMIFS(Hulptabel!$G$3:$G$152,Hulptabel!$B$3:$B$152,Vlootplan!$X5,Hulptabel!$D$3:$D$152,Vlootplan!AI$4)/Deler)-L5)</f>
        <v>0</v>
      </c>
      <c r="AJ5" s="643">
        <f>IF(Deler=0,0,(SUMIFS(Hulptabel!$G$3:$G$152,Hulptabel!$B$3:$B$152,1,Hulptabel!$D$3:$D$152,Vlootplan!AJ$4)/Deler)-M5)</f>
        <v>0</v>
      </c>
      <c r="AK5" s="637">
        <f>IF(Deler=0,0,(SUMIFS(Hulptabel!$G$3:$G$152,Hulptabel!$B$3:$B$152,1,Hulptabel!$D$3:$D$152,Vlootplan!AK$4)/Deler)-N5)</f>
        <v>0</v>
      </c>
      <c r="AL5" s="637">
        <f>IF(Deler=0,0,(SUMIFS(Hulptabel!$G$3:$G$152,Hulptabel!$B$3:$B$152,1,Hulptabel!$D$3:$D$152,Vlootplan!AL$4)/Deler)-O5)</f>
        <v>0</v>
      </c>
      <c r="AM5" s="640">
        <f>IF(Deler=0,0,(SUMIFS(Hulptabel!$G$3:$G$152,Hulptabel!$B$3:$B$152,1,Hulptabel!$D$3:$D$152,Vlootplan!AM$4)/Deler)-P5)</f>
        <v>0</v>
      </c>
      <c r="AN5" s="643">
        <f>IF(Deler=0,0,(SUMIFS(Hulptabel!$G$3:$G$152,Hulptabel!$B$3:$B$152,1,Hulptabel!$D$3:$D$152,Vlootplan!AN$4)/Deler)-Q5)</f>
        <v>0</v>
      </c>
      <c r="AO5" s="640">
        <f>IF(Deler=0,0,(SUMIFS(Hulptabel!$G$3:$G$152,Hulptabel!$B$3:$B$152,1,Hulptabel!$D$3:$D$152,Vlootplan!AO$4)/Deler)-R5)</f>
        <v>0</v>
      </c>
      <c r="AP5" s="643">
        <f>IF(Deler=0,0,(SUMIFS(Hulptabel!$G$3:$G$152,Hulptabel!$B$3:$B$152,1,Hulptabel!$D$3:$D$152,Vlootplan!AP$4)/Deler)-S5)</f>
        <v>0</v>
      </c>
      <c r="AQ5" s="646">
        <f>IF(Deler=0,0,(SUMIFS(Hulptabel!$G$3:$G$152,Hulptabel!$B$3:$B$152,1,Hulptabel!$D$3:$D$152,Vlootplan!AQ$4)/Deler)-T5)</f>
        <v>0</v>
      </c>
      <c r="AR5" s="628">
        <f>IF(Deler=0,0,(SUMIFS(Hulptabel!$G$3:$G$152,Hulptabel!$B$3:$B$152,1,Hulptabel!$D$3:$D$152,Vlootplan!AR$4)/Deler)-U5)</f>
        <v>0</v>
      </c>
      <c r="AS5" s="631">
        <f>IF(Deler=0,0,(SUMIFS(Hulptabel!$G$3:$G$152,Hulptabel!$B$3:$B$152,1,Hulptabel!$D$3:$D$152,Vlootplan!AS$4)/Deler)-V5)</f>
        <v>0</v>
      </c>
      <c r="AU5" s="228" t="s">
        <v>353</v>
      </c>
      <c r="AV5" s="230" t="s">
        <v>354</v>
      </c>
      <c r="AW5" s="231" t="s">
        <v>355</v>
      </c>
      <c r="AX5" s="237">
        <f>IF(OR(D5=0,$AW$29=0),0,(BU5/D5)/$AW$29)</f>
        <v>0</v>
      </c>
      <c r="AY5" s="238">
        <f t="shared" ref="AY5:BN9" si="37">IF(OR(E5=0,$AW$29=0),0,(BV5/E5)/$AW$29)</f>
        <v>0</v>
      </c>
      <c r="AZ5" s="238">
        <f t="shared" si="37"/>
        <v>0</v>
      </c>
      <c r="BA5" s="239">
        <f t="shared" si="37"/>
        <v>0</v>
      </c>
      <c r="BB5" s="237">
        <f t="shared" si="37"/>
        <v>0</v>
      </c>
      <c r="BC5" s="238">
        <f t="shared" si="37"/>
        <v>0</v>
      </c>
      <c r="BD5" s="238">
        <f t="shared" si="37"/>
        <v>0</v>
      </c>
      <c r="BE5" s="238">
        <f t="shared" si="37"/>
        <v>0</v>
      </c>
      <c r="BF5" s="240">
        <f t="shared" si="37"/>
        <v>0</v>
      </c>
      <c r="BG5" s="613">
        <f t="shared" si="37"/>
        <v>0</v>
      </c>
      <c r="BH5" s="634">
        <f t="shared" si="37"/>
        <v>0</v>
      </c>
      <c r="BI5" s="634">
        <f t="shared" si="37"/>
        <v>0</v>
      </c>
      <c r="BJ5" s="616">
        <f t="shared" si="37"/>
        <v>0</v>
      </c>
      <c r="BK5" s="613">
        <f t="shared" si="37"/>
        <v>0</v>
      </c>
      <c r="BL5" s="616">
        <f t="shared" si="37"/>
        <v>0</v>
      </c>
      <c r="BM5" s="613">
        <f t="shared" si="37"/>
        <v>0</v>
      </c>
      <c r="BN5" s="619">
        <f t="shared" si="37"/>
        <v>0</v>
      </c>
      <c r="BO5" s="622">
        <f t="shared" ref="BO5:BP9" si="38">IF(OR(U5=0,$AW$29=0),0,(CL5/U5)/$AW$29)</f>
        <v>0</v>
      </c>
      <c r="BP5" s="625">
        <f t="shared" si="38"/>
        <v>0</v>
      </c>
      <c r="BQ5" s="236"/>
      <c r="BR5" s="228" t="s">
        <v>353</v>
      </c>
      <c r="BS5" s="230" t="s">
        <v>354</v>
      </c>
      <c r="BT5" s="231" t="s">
        <v>355</v>
      </c>
      <c r="BU5" s="232">
        <f>SUMIFS(Hulptabel!$V$3:$V$152,Hulptabel!$B$3:$B$152,Vlootplan!$AU5,Hulptabel!$D$3:$D$152,Vlootplan!AX$4)</f>
        <v>0</v>
      </c>
      <c r="BV5" s="233">
        <f>SUMIFS(Hulptabel!$V$3:$V$152,Hulptabel!$B$3:$B$152,Vlootplan!$AU5,Hulptabel!$D$3:$D$152,Vlootplan!AY$4)</f>
        <v>0</v>
      </c>
      <c r="BW5" s="233">
        <f>SUMIFS(Hulptabel!$V$3:$V$152,Hulptabel!$B$3:$B$152,Vlootplan!$AU5,Hulptabel!$D$3:$D$152,Vlootplan!AZ$4)</f>
        <v>0</v>
      </c>
      <c r="BX5" s="234">
        <f>SUMIFS(Hulptabel!$V$3:$V$152,Hulptabel!$B$3:$B$152,Vlootplan!$AU5,Hulptabel!$D$3:$D$152,Vlootplan!BA$4)</f>
        <v>0</v>
      </c>
      <c r="BY5" s="232">
        <f>SUMIFS(Hulptabel!$V$3:$V$152,Hulptabel!$B$3:$B$152,Vlootplan!$AU5,Hulptabel!$D$3:$D$152,Vlootplan!BB$4)</f>
        <v>0</v>
      </c>
      <c r="BZ5" s="233">
        <f>SUMIFS(Hulptabel!$V$3:$V$152,Hulptabel!$B$3:$B$152,Vlootplan!$AU5,Hulptabel!$D$3:$D$152,Vlootplan!BC$4)</f>
        <v>0</v>
      </c>
      <c r="CA5" s="233">
        <f>SUMIFS(Hulptabel!$V$3:$V$152,Hulptabel!$B$3:$B$152,Vlootplan!$AU5,Hulptabel!$D$3:$D$152,Vlootplan!BD$4)</f>
        <v>0</v>
      </c>
      <c r="CB5" s="233">
        <f>SUMIFS(Hulptabel!$V$3:$V$152,Hulptabel!$B$3:$B$152,Vlootplan!$AU5,Hulptabel!$D$3:$D$152,Vlootplan!BE$4)</f>
        <v>0</v>
      </c>
      <c r="CC5" s="235">
        <f>SUMIFS(Hulptabel!$V$3:$V$152,Hulptabel!$B$3:$B$152,Vlootplan!$AU5,Hulptabel!$D$3:$D$152,Vlootplan!BF$4)</f>
        <v>0</v>
      </c>
      <c r="CD5" s="595">
        <f>SUMIFS(Hulptabel!$V$3:$V$152,Hulptabel!$B$3:$B$152,1,Hulptabel!$D$3:$D$152,Vlootplan!BG$4)</f>
        <v>0</v>
      </c>
      <c r="CE5" s="607">
        <f>SUMIFS(Hulptabel!$V$3:$V$152,Hulptabel!$B$3:$B$152,1,Hulptabel!$D$3:$D$152,Vlootplan!BH$4)</f>
        <v>0</v>
      </c>
      <c r="CF5" s="607">
        <f>SUMIFS(Hulptabel!$V$3:$V$152,Hulptabel!$B$3:$B$152,1,Hulptabel!$D$3:$D$152,Vlootplan!BI$4)</f>
        <v>0</v>
      </c>
      <c r="CG5" s="610">
        <f>SUMIFS(Hulptabel!$V$3:$V$152,Hulptabel!$B$3:$B$152,1,Hulptabel!$D$3:$D$152,Vlootplan!BJ$4)</f>
        <v>0</v>
      </c>
      <c r="CH5" s="595">
        <f>SUMIFS(Hulptabel!$V$3:$V$152,Hulptabel!$B$3:$B$152,1,Hulptabel!$D$3:$D$152,Vlootplan!BK$4)</f>
        <v>0</v>
      </c>
      <c r="CI5" s="610">
        <f>SUMIFS(Hulptabel!$V$3:$V$152,Hulptabel!$B$3:$B$152,1,Hulptabel!$D$3:$D$152,Vlootplan!BL$4)</f>
        <v>0</v>
      </c>
      <c r="CJ5" s="595">
        <f>SUMIFS(Hulptabel!$V$3:$V$152,Hulptabel!$B$3:$B$152,1,Hulptabel!$D$3:$D$152,Vlootplan!BM$4)</f>
        <v>0</v>
      </c>
      <c r="CK5" s="598">
        <f>SUMIFS(Hulptabel!$V$3:$V$152,Hulptabel!$B$3:$B$152,1,Hulptabel!$D$3:$D$152,Vlootplan!BN$4)</f>
        <v>0</v>
      </c>
      <c r="CL5" s="601">
        <f>SUMIFS(Hulptabel!$V$3:$V$152,Hulptabel!$B$3:$B$152,1,Hulptabel!$D$3:$D$152,Vlootplan!BO$4)</f>
        <v>0</v>
      </c>
      <c r="CM5" s="604">
        <f>SUMIFS(Hulptabel!$V$3:$V$152,Hulptabel!$B$3:$B$152,1,Hulptabel!$D$3:$D$152,Vlootplan!BP$4)</f>
        <v>0</v>
      </c>
    </row>
    <row r="6" spans="1:91" x14ac:dyDescent="0.25">
      <c r="A6" s="228" t="s">
        <v>226</v>
      </c>
      <c r="B6" s="230" t="s">
        <v>356</v>
      </c>
      <c r="C6" s="241" t="s">
        <v>357</v>
      </c>
      <c r="D6" s="242">
        <f>COUNTIFS(Hulptabel!$B$3:$B$152,Vlootplan!$A6,Hulptabel!$D$3:$D$152,Vlootplan!D$4)</f>
        <v>1</v>
      </c>
      <c r="E6" s="243">
        <f>COUNTIFS(Hulptabel!$B$3:$B$152,Vlootplan!$A6,Hulptabel!$D$3:$D$152,Vlootplan!E$4)</f>
        <v>0</v>
      </c>
      <c r="F6" s="243">
        <f>COUNTIFS(Hulptabel!$B$3:$B$152,Vlootplan!$A6,Hulptabel!$D$3:$D$152,Vlootplan!F$4)</f>
        <v>1</v>
      </c>
      <c r="G6" s="244">
        <f>COUNTIFS(Hulptabel!$B$3:$B$152,Vlootplan!$A6,Hulptabel!$D$3:$D$152,Vlootplan!G$4)</f>
        <v>0</v>
      </c>
      <c r="H6" s="242">
        <f>COUNTIFS(Hulptabel!$B$3:$B$152,Vlootplan!$A6,Hulptabel!$D$3:$D$152,Vlootplan!H$4)</f>
        <v>0</v>
      </c>
      <c r="I6" s="243">
        <f>COUNTIFS(Hulptabel!$B$3:$B$152,Vlootplan!$A6,Hulptabel!$D$3:$D$152,Vlootplan!I$4)</f>
        <v>0</v>
      </c>
      <c r="J6" s="243">
        <f>COUNTIFS(Hulptabel!$B$3:$B$152,Vlootplan!$A6,Hulptabel!$D$3:$D$152,Vlootplan!J$4)</f>
        <v>0</v>
      </c>
      <c r="K6" s="243">
        <f>COUNTIFS(Hulptabel!$B$3:$B$152,Vlootplan!$A6,Hulptabel!$D$3:$D$152,Vlootplan!K$4)</f>
        <v>0</v>
      </c>
      <c r="L6" s="245">
        <f>COUNTIFS(Hulptabel!$B$3:$B$152,Vlootplan!$A6,Hulptabel!$D$3:$D$152,Vlootplan!L$4)</f>
        <v>0</v>
      </c>
      <c r="M6" s="596"/>
      <c r="N6" s="608"/>
      <c r="O6" s="608"/>
      <c r="P6" s="611"/>
      <c r="Q6" s="596"/>
      <c r="R6" s="611"/>
      <c r="S6" s="596"/>
      <c r="T6" s="599"/>
      <c r="U6" s="602"/>
      <c r="V6" s="605"/>
      <c r="W6" s="236"/>
      <c r="X6" s="228" t="s">
        <v>226</v>
      </c>
      <c r="Y6" s="230" t="s">
        <v>356</v>
      </c>
      <c r="Z6" s="241" t="s">
        <v>357</v>
      </c>
      <c r="AA6" s="359">
        <f>IF(Deler=0,0,(SUMIFS(Hulptabel!$G$3:$G$152,Hulptabel!$B$3:$B$152,Vlootplan!$X6,Hulptabel!$D$3:$D$152,Vlootplan!AA$4)/Deler)-D6)</f>
        <v>-0.35458167330677293</v>
      </c>
      <c r="AB6" s="360">
        <f>IF(Deler=0,0,(SUMIFS(Hulptabel!$G$3:$G$152,Hulptabel!$B$3:$B$152,Vlootplan!$X6,Hulptabel!$D$3:$D$152,Vlootplan!AB$4)/Deler)-E6)</f>
        <v>0</v>
      </c>
      <c r="AC6" s="360">
        <f>IF(Deler=0,0,(SUMIFS(Hulptabel!$G$3:$G$152,Hulptabel!$B$3:$B$152,Vlootplan!$X6,Hulptabel!$D$3:$D$152,Vlootplan!AC$4)/Deler)-F6)</f>
        <v>-0.50996015936254979</v>
      </c>
      <c r="AD6" s="361">
        <f>IF(Deler=0,0,(SUMIFS(Hulptabel!$G$3:$G$152,Hulptabel!$B$3:$B$152,Vlootplan!$X6,Hulptabel!$D$3:$D$152,Vlootplan!AD$4)/Deler)-G6)</f>
        <v>0</v>
      </c>
      <c r="AE6" s="359">
        <f>IF(Deler=0,0,(SUMIFS(Hulptabel!$G$3:$G$152,Hulptabel!$B$3:$B$152,Vlootplan!$X6,Hulptabel!$D$3:$D$152,Vlootplan!AE$4)/Deler)-H6)</f>
        <v>0</v>
      </c>
      <c r="AF6" s="360">
        <f>IF(Deler=0,0,(SUMIFS(Hulptabel!$G$3:$G$152,Hulptabel!$B$3:$B$152,Vlootplan!$X6,Hulptabel!$D$3:$D$152,Vlootplan!AF$4)/Deler)-I6)</f>
        <v>0</v>
      </c>
      <c r="AG6" s="360">
        <f>IF(Deler=0,0,(SUMIFS(Hulptabel!$G$3:$G$152,Hulptabel!$B$3:$B$152,Vlootplan!$X6,Hulptabel!$D$3:$D$152,Vlootplan!AG$4)/Deler)-J6)</f>
        <v>0</v>
      </c>
      <c r="AH6" s="360">
        <f>IF(Deler=0,0,(SUMIFS(Hulptabel!$G$3:$G$152,Hulptabel!$B$3:$B$152,Vlootplan!$X6,Hulptabel!$D$3:$D$152,Vlootplan!AH$4)/Deler)-K6)</f>
        <v>0</v>
      </c>
      <c r="AI6" s="362">
        <f>IF(Deler=0,0,(SUMIFS(Hulptabel!$G$3:$G$152,Hulptabel!$B$3:$B$152,Vlootplan!$X6,Hulptabel!$D$3:$D$152,Vlootplan!AI$4)/Deler)-L6)</f>
        <v>0</v>
      </c>
      <c r="AJ6" s="644">
        <v>0</v>
      </c>
      <c r="AK6" s="638">
        <v>0</v>
      </c>
      <c r="AL6" s="638">
        <v>0</v>
      </c>
      <c r="AM6" s="641">
        <v>0</v>
      </c>
      <c r="AN6" s="644">
        <v>0</v>
      </c>
      <c r="AO6" s="641">
        <v>0</v>
      </c>
      <c r="AP6" s="644">
        <v>0</v>
      </c>
      <c r="AQ6" s="647">
        <v>0</v>
      </c>
      <c r="AR6" s="629">
        <v>0</v>
      </c>
      <c r="AS6" s="632">
        <v>0</v>
      </c>
      <c r="AU6" s="228" t="s">
        <v>226</v>
      </c>
      <c r="AV6" s="230" t="s">
        <v>356</v>
      </c>
      <c r="AW6" s="241" t="s">
        <v>357</v>
      </c>
      <c r="AX6" s="246">
        <f t="shared" ref="AX6:AX9" si="39">IF(OR(D6=0,$AW$29=0),0,(BU6/D6)/$AW$29)</f>
        <v>0.28185053380782915</v>
      </c>
      <c r="AY6" s="247">
        <f t="shared" si="37"/>
        <v>0</v>
      </c>
      <c r="AZ6" s="247">
        <f t="shared" si="37"/>
        <v>0.85599051008303673</v>
      </c>
      <c r="BA6" s="248">
        <f t="shared" si="37"/>
        <v>0</v>
      </c>
      <c r="BB6" s="246">
        <f t="shared" si="37"/>
        <v>0</v>
      </c>
      <c r="BC6" s="247">
        <f t="shared" si="37"/>
        <v>0</v>
      </c>
      <c r="BD6" s="247">
        <f t="shared" si="37"/>
        <v>0</v>
      </c>
      <c r="BE6" s="247">
        <f t="shared" si="37"/>
        <v>0</v>
      </c>
      <c r="BF6" s="249">
        <f t="shared" si="37"/>
        <v>0</v>
      </c>
      <c r="BG6" s="614">
        <f t="shared" si="37"/>
        <v>0</v>
      </c>
      <c r="BH6" s="635">
        <f t="shared" si="37"/>
        <v>0</v>
      </c>
      <c r="BI6" s="635">
        <f t="shared" si="37"/>
        <v>0</v>
      </c>
      <c r="BJ6" s="617">
        <f t="shared" si="37"/>
        <v>0</v>
      </c>
      <c r="BK6" s="614">
        <f t="shared" si="37"/>
        <v>0</v>
      </c>
      <c r="BL6" s="617">
        <f t="shared" si="37"/>
        <v>0</v>
      </c>
      <c r="BM6" s="614">
        <f t="shared" si="37"/>
        <v>0</v>
      </c>
      <c r="BN6" s="620">
        <f t="shared" si="37"/>
        <v>0</v>
      </c>
      <c r="BO6" s="623">
        <f t="shared" si="38"/>
        <v>0</v>
      </c>
      <c r="BP6" s="626">
        <f t="shared" si="38"/>
        <v>0</v>
      </c>
      <c r="BQ6" s="236"/>
      <c r="BR6" s="228" t="s">
        <v>226</v>
      </c>
      <c r="BS6" s="230" t="s">
        <v>356</v>
      </c>
      <c r="BT6" s="241" t="s">
        <v>357</v>
      </c>
      <c r="BU6" s="242">
        <f>SUMIFS(Hulptabel!$V$3:$V$152,Hulptabel!$B$3:$B$152,Vlootplan!$AU6,Hulptabel!$D$3:$D$152,Vlootplan!AX$4)</f>
        <v>54</v>
      </c>
      <c r="BV6" s="243">
        <f>SUMIFS(Hulptabel!$V$3:$V$152,Hulptabel!$B$3:$B$152,Vlootplan!$AU6,Hulptabel!$D$3:$D$152,Vlootplan!AY$4)</f>
        <v>0</v>
      </c>
      <c r="BW6" s="243">
        <f>SUMIFS(Hulptabel!$V$3:$V$152,Hulptabel!$B$3:$B$152,Vlootplan!$AU6,Hulptabel!$D$3:$D$152,Vlootplan!AZ$4)</f>
        <v>164</v>
      </c>
      <c r="BX6" s="244">
        <f>SUMIFS(Hulptabel!$V$3:$V$152,Hulptabel!$B$3:$B$152,Vlootplan!$AU6,Hulptabel!$D$3:$D$152,Vlootplan!BA$4)</f>
        <v>0</v>
      </c>
      <c r="BY6" s="242">
        <f>SUMIFS(Hulptabel!$V$3:$V$152,Hulptabel!$B$3:$B$152,Vlootplan!$AU6,Hulptabel!$D$3:$D$152,Vlootplan!BB$4)</f>
        <v>0</v>
      </c>
      <c r="BZ6" s="243">
        <f>SUMIFS(Hulptabel!$V$3:$V$152,Hulptabel!$B$3:$B$152,Vlootplan!$AU6,Hulptabel!$D$3:$D$152,Vlootplan!BC$4)</f>
        <v>0</v>
      </c>
      <c r="CA6" s="243">
        <f>SUMIFS(Hulptabel!$V$3:$V$152,Hulptabel!$B$3:$B$152,Vlootplan!$AU6,Hulptabel!$D$3:$D$152,Vlootplan!BD$4)</f>
        <v>0</v>
      </c>
      <c r="CB6" s="243">
        <f>SUMIFS(Hulptabel!$V$3:$V$152,Hulptabel!$B$3:$B$152,Vlootplan!$AU6,Hulptabel!$D$3:$D$152,Vlootplan!BE$4)</f>
        <v>0</v>
      </c>
      <c r="CC6" s="245">
        <f>SUMIFS(Hulptabel!$V$3:$V$152,Hulptabel!$B$3:$B$152,Vlootplan!$AU6,Hulptabel!$D$3:$D$152,Vlootplan!BF$4)</f>
        <v>0</v>
      </c>
      <c r="CD6" s="596"/>
      <c r="CE6" s="608"/>
      <c r="CF6" s="608"/>
      <c r="CG6" s="611"/>
      <c r="CH6" s="596"/>
      <c r="CI6" s="611"/>
      <c r="CJ6" s="596"/>
      <c r="CK6" s="599"/>
      <c r="CL6" s="602"/>
      <c r="CM6" s="605"/>
    </row>
    <row r="7" spans="1:91" x14ac:dyDescent="0.25">
      <c r="A7" s="228" t="s">
        <v>233</v>
      </c>
      <c r="B7" t="s">
        <v>358</v>
      </c>
      <c r="C7" s="241" t="s">
        <v>359</v>
      </c>
      <c r="D7" s="242">
        <f>COUNTIFS(Hulptabel!$B$3:$B$152,Vlootplan!$A7,Hulptabel!$D$3:$D$152,Vlootplan!D$4)</f>
        <v>2</v>
      </c>
      <c r="E7" s="243">
        <f>COUNTIFS(Hulptabel!$B$3:$B$152,Vlootplan!$A7,Hulptabel!$D$3:$D$152,Vlootplan!E$4)</f>
        <v>1</v>
      </c>
      <c r="F7" s="243">
        <f>COUNTIFS(Hulptabel!$B$3:$B$152,Vlootplan!$A7,Hulptabel!$D$3:$D$152,Vlootplan!F$4)</f>
        <v>1</v>
      </c>
      <c r="G7" s="244">
        <f>COUNTIFS(Hulptabel!$B$3:$B$152,Vlootplan!$A7,Hulptabel!$D$3:$D$152,Vlootplan!G$4)</f>
        <v>0</v>
      </c>
      <c r="H7" s="242">
        <f>COUNTIFS(Hulptabel!$B$3:$B$152,Vlootplan!$A7,Hulptabel!$D$3:$D$152,Vlootplan!H$4)</f>
        <v>0</v>
      </c>
      <c r="I7" s="243">
        <f>COUNTIFS(Hulptabel!$B$3:$B$152,Vlootplan!$A7,Hulptabel!$D$3:$D$152,Vlootplan!I$4)</f>
        <v>0</v>
      </c>
      <c r="J7" s="243">
        <f>COUNTIFS(Hulptabel!$B$3:$B$152,Vlootplan!$A7,Hulptabel!$D$3:$D$152,Vlootplan!J$4)</f>
        <v>0</v>
      </c>
      <c r="K7" s="243">
        <f>COUNTIFS(Hulptabel!$B$3:$B$152,Vlootplan!$A7,Hulptabel!$D$3:$D$152,Vlootplan!K$4)</f>
        <v>0</v>
      </c>
      <c r="L7" s="245">
        <f>COUNTIFS(Hulptabel!$B$3:$B$152,Vlootplan!$A7,Hulptabel!$D$3:$D$152,Vlootplan!L$4)</f>
        <v>0</v>
      </c>
      <c r="M7" s="596"/>
      <c r="N7" s="608"/>
      <c r="O7" s="608"/>
      <c r="P7" s="611"/>
      <c r="Q7" s="596"/>
      <c r="R7" s="611"/>
      <c r="S7" s="596"/>
      <c r="T7" s="599"/>
      <c r="U7" s="602"/>
      <c r="V7" s="605"/>
      <c r="W7" s="236"/>
      <c r="X7" s="228" t="s">
        <v>233</v>
      </c>
      <c r="Y7" t="s">
        <v>358</v>
      </c>
      <c r="Z7" s="241" t="s">
        <v>359</v>
      </c>
      <c r="AA7" s="359">
        <f>IF(Deler=0,0,(SUMIFS(Hulptabel!$G$3:$G$152,Hulptabel!$B$3:$B$152,Vlootplan!$X7,Hulptabel!$D$3:$D$152,Vlootplan!AA$4)/Deler)-D7)</f>
        <v>-0.79282868525896411</v>
      </c>
      <c r="AB7" s="360">
        <f>IF(Deler=0,0,(SUMIFS(Hulptabel!$G$3:$G$152,Hulptabel!$B$3:$B$152,Vlootplan!$X7,Hulptabel!$D$3:$D$152,Vlootplan!AB$4)/Deler)-E7)</f>
        <v>-0.67729083665338652</v>
      </c>
      <c r="AC7" s="360">
        <f>IF(Deler=0,0,(SUMIFS(Hulptabel!$G$3:$G$152,Hulptabel!$B$3:$B$152,Vlootplan!$X7,Hulptabel!$D$3:$D$152,Vlootplan!AC$4)/Deler)-F7)</f>
        <v>-0.31872509960159368</v>
      </c>
      <c r="AD7" s="361">
        <f>IF(Deler=0,0,(SUMIFS(Hulptabel!$G$3:$G$152,Hulptabel!$B$3:$B$152,Vlootplan!$X7,Hulptabel!$D$3:$D$152,Vlootplan!AD$4)/Deler)-G7)</f>
        <v>0</v>
      </c>
      <c r="AE7" s="359">
        <f>IF(Deler=0,0,(SUMIFS(Hulptabel!$G$3:$G$152,Hulptabel!$B$3:$B$152,Vlootplan!$X7,Hulptabel!$D$3:$D$152,Vlootplan!AE$4)/Deler)-H7)</f>
        <v>0</v>
      </c>
      <c r="AF7" s="360">
        <f>IF(Deler=0,0,(SUMIFS(Hulptabel!$G$3:$G$152,Hulptabel!$B$3:$B$152,Vlootplan!$X7,Hulptabel!$D$3:$D$152,Vlootplan!AF$4)/Deler)-I7)</f>
        <v>0</v>
      </c>
      <c r="AG7" s="360">
        <f>IF(Deler=0,0,(SUMIFS(Hulptabel!$G$3:$G$152,Hulptabel!$B$3:$B$152,Vlootplan!$X7,Hulptabel!$D$3:$D$152,Vlootplan!AG$4)/Deler)-J7)</f>
        <v>0</v>
      </c>
      <c r="AH7" s="360">
        <f>IF(Deler=0,0,(SUMIFS(Hulptabel!$G$3:$G$152,Hulptabel!$B$3:$B$152,Vlootplan!$X7,Hulptabel!$D$3:$D$152,Vlootplan!AH$4)/Deler)-K7)</f>
        <v>0</v>
      </c>
      <c r="AI7" s="362">
        <f>IF(Deler=0,0,(SUMIFS(Hulptabel!$G$3:$G$152,Hulptabel!$B$3:$B$152,Vlootplan!$X7,Hulptabel!$D$3:$D$152,Vlootplan!AI$4)/Deler)-L7)</f>
        <v>0</v>
      </c>
      <c r="AJ7" s="644">
        <v>0</v>
      </c>
      <c r="AK7" s="638">
        <v>0</v>
      </c>
      <c r="AL7" s="638">
        <v>0</v>
      </c>
      <c r="AM7" s="641">
        <v>0</v>
      </c>
      <c r="AN7" s="644">
        <v>0</v>
      </c>
      <c r="AO7" s="641">
        <v>0</v>
      </c>
      <c r="AP7" s="644">
        <v>0</v>
      </c>
      <c r="AQ7" s="647">
        <v>0</v>
      </c>
      <c r="AR7" s="629">
        <v>0</v>
      </c>
      <c r="AS7" s="632">
        <v>0</v>
      </c>
      <c r="AU7" s="228" t="s">
        <v>233</v>
      </c>
      <c r="AV7" t="s">
        <v>358</v>
      </c>
      <c r="AW7" s="241" t="s">
        <v>359</v>
      </c>
      <c r="AX7" s="246">
        <f t="shared" si="39"/>
        <v>0.26358244365361805</v>
      </c>
      <c r="AY7" s="247">
        <f t="shared" si="37"/>
        <v>0.28185053380782915</v>
      </c>
      <c r="AZ7" s="247">
        <f t="shared" si="37"/>
        <v>1.1900355871886121</v>
      </c>
      <c r="BA7" s="248">
        <f t="shared" si="37"/>
        <v>0</v>
      </c>
      <c r="BB7" s="246">
        <f t="shared" si="37"/>
        <v>0</v>
      </c>
      <c r="BC7" s="247">
        <f t="shared" si="37"/>
        <v>0</v>
      </c>
      <c r="BD7" s="247">
        <f t="shared" si="37"/>
        <v>0</v>
      </c>
      <c r="BE7" s="247">
        <f t="shared" si="37"/>
        <v>0</v>
      </c>
      <c r="BF7" s="249">
        <f t="shared" si="37"/>
        <v>0</v>
      </c>
      <c r="BG7" s="614">
        <f t="shared" si="37"/>
        <v>0</v>
      </c>
      <c r="BH7" s="635">
        <f t="shared" si="37"/>
        <v>0</v>
      </c>
      <c r="BI7" s="635">
        <f t="shared" si="37"/>
        <v>0</v>
      </c>
      <c r="BJ7" s="617">
        <f t="shared" si="37"/>
        <v>0</v>
      </c>
      <c r="BK7" s="614">
        <f t="shared" si="37"/>
        <v>0</v>
      </c>
      <c r="BL7" s="617">
        <f t="shared" si="37"/>
        <v>0</v>
      </c>
      <c r="BM7" s="614">
        <f t="shared" si="37"/>
        <v>0</v>
      </c>
      <c r="BN7" s="620">
        <f t="shared" si="37"/>
        <v>0</v>
      </c>
      <c r="BO7" s="623">
        <f t="shared" si="38"/>
        <v>0</v>
      </c>
      <c r="BP7" s="626">
        <f t="shared" si="38"/>
        <v>0</v>
      </c>
      <c r="BQ7" s="236"/>
      <c r="BR7" s="228" t="s">
        <v>233</v>
      </c>
      <c r="BS7" t="s">
        <v>358</v>
      </c>
      <c r="BT7" s="241" t="s">
        <v>359</v>
      </c>
      <c r="BU7" s="242">
        <f>SUMIFS(Hulptabel!$V$3:$V$152,Hulptabel!$B$3:$B$152,Vlootplan!$AU7,Hulptabel!$D$3:$D$152,Vlootplan!AX$4)</f>
        <v>101</v>
      </c>
      <c r="BV7" s="243">
        <f>SUMIFS(Hulptabel!$V$3:$V$152,Hulptabel!$B$3:$B$152,Vlootplan!$AU7,Hulptabel!$D$3:$D$152,Vlootplan!AY$4)</f>
        <v>54</v>
      </c>
      <c r="BW7" s="243">
        <f>SUMIFS(Hulptabel!$V$3:$V$152,Hulptabel!$B$3:$B$152,Vlootplan!$AU7,Hulptabel!$D$3:$D$152,Vlootplan!AZ$4)</f>
        <v>228</v>
      </c>
      <c r="BX7" s="244">
        <f>SUMIFS(Hulptabel!$V$3:$V$152,Hulptabel!$B$3:$B$152,Vlootplan!$AU7,Hulptabel!$D$3:$D$152,Vlootplan!BA$4)</f>
        <v>0</v>
      </c>
      <c r="BY7" s="242">
        <f>SUMIFS(Hulptabel!$V$3:$V$152,Hulptabel!$B$3:$B$152,Vlootplan!$AU7,Hulptabel!$D$3:$D$152,Vlootplan!BB$4)</f>
        <v>0</v>
      </c>
      <c r="BZ7" s="243">
        <f>SUMIFS(Hulptabel!$V$3:$V$152,Hulptabel!$B$3:$B$152,Vlootplan!$AU7,Hulptabel!$D$3:$D$152,Vlootplan!BC$4)</f>
        <v>0</v>
      </c>
      <c r="CA7" s="243">
        <f>SUMIFS(Hulptabel!$V$3:$V$152,Hulptabel!$B$3:$B$152,Vlootplan!$AU7,Hulptabel!$D$3:$D$152,Vlootplan!BD$4)</f>
        <v>0</v>
      </c>
      <c r="CB7" s="243">
        <f>SUMIFS(Hulptabel!$V$3:$V$152,Hulptabel!$B$3:$B$152,Vlootplan!$AU7,Hulptabel!$D$3:$D$152,Vlootplan!BE$4)</f>
        <v>0</v>
      </c>
      <c r="CC7" s="245">
        <f>SUMIFS(Hulptabel!$V$3:$V$152,Hulptabel!$B$3:$B$152,Vlootplan!$AU7,Hulptabel!$D$3:$D$152,Vlootplan!BF$4)</f>
        <v>0</v>
      </c>
      <c r="CD7" s="596"/>
      <c r="CE7" s="608"/>
      <c r="CF7" s="608"/>
      <c r="CG7" s="611"/>
      <c r="CH7" s="596"/>
      <c r="CI7" s="611"/>
      <c r="CJ7" s="596"/>
      <c r="CK7" s="599"/>
      <c r="CL7" s="602"/>
      <c r="CM7" s="605"/>
    </row>
    <row r="8" spans="1:91" x14ac:dyDescent="0.25">
      <c r="A8" s="228" t="s">
        <v>217</v>
      </c>
      <c r="B8" t="s">
        <v>360</v>
      </c>
      <c r="C8" s="241" t="s">
        <v>361</v>
      </c>
      <c r="D8" s="250">
        <f>COUNTIFS(Hulptabel!$B$3:$B$152,Vlootplan!$A8,Hulptabel!$D$3:$D$152,Vlootplan!D$4)</f>
        <v>0</v>
      </c>
      <c r="E8" s="251">
        <f>COUNTIFS(Hulptabel!$B$3:$B$152,Vlootplan!$A8,Hulptabel!$D$3:$D$152,Vlootplan!E$4)</f>
        <v>1</v>
      </c>
      <c r="F8" s="251">
        <f>COUNTIFS(Hulptabel!$B$3:$B$152,Vlootplan!$A8,Hulptabel!$D$3:$D$152,Vlootplan!F$4)</f>
        <v>0</v>
      </c>
      <c r="G8" s="252">
        <f>COUNTIFS(Hulptabel!$B$3:$B$152,Vlootplan!$A8,Hulptabel!$D$3:$D$152,Vlootplan!G$4)</f>
        <v>0</v>
      </c>
      <c r="H8" s="250">
        <f>COUNTIFS(Hulptabel!$B$3:$B$152,Vlootplan!$A8,Hulptabel!$D$3:$D$152,Vlootplan!H$4)</f>
        <v>0</v>
      </c>
      <c r="I8" s="251">
        <f>COUNTIFS(Hulptabel!$B$3:$B$152,Vlootplan!$A8,Hulptabel!$D$3:$D$152,Vlootplan!I$4)</f>
        <v>0</v>
      </c>
      <c r="J8" s="251">
        <f>COUNTIFS(Hulptabel!$B$3:$B$152,Vlootplan!$A8,Hulptabel!$D$3:$D$152,Vlootplan!J$4)</f>
        <v>0</v>
      </c>
      <c r="K8" s="251">
        <f>COUNTIFS(Hulptabel!$B$3:$B$152,Vlootplan!$A8,Hulptabel!$D$3:$D$152,Vlootplan!K$4)</f>
        <v>0</v>
      </c>
      <c r="L8" s="253">
        <f>COUNTIFS(Hulptabel!$B$3:$B$152,Vlootplan!$A8,Hulptabel!$D$3:$D$152,Vlootplan!L$4)</f>
        <v>0</v>
      </c>
      <c r="M8" s="597"/>
      <c r="N8" s="609"/>
      <c r="O8" s="609"/>
      <c r="P8" s="612"/>
      <c r="Q8" s="597"/>
      <c r="R8" s="612"/>
      <c r="S8" s="597"/>
      <c r="T8" s="600"/>
      <c r="U8" s="603"/>
      <c r="V8" s="606"/>
      <c r="W8" s="236"/>
      <c r="X8" s="228" t="s">
        <v>217</v>
      </c>
      <c r="Y8" t="s">
        <v>360</v>
      </c>
      <c r="Z8" s="241" t="s">
        <v>361</v>
      </c>
      <c r="AA8" s="363">
        <f>IF(Deler=0,0,(SUMIFS(Hulptabel!$G$3:$G$152,Hulptabel!$B$3:$B$152,Vlootplan!$X8,Hulptabel!$D$3:$D$152,Vlootplan!AA$4)/Deler)-D8)</f>
        <v>0</v>
      </c>
      <c r="AB8" s="364">
        <f>IF(Deler=0,0,(SUMIFS(Hulptabel!$G$3:$G$152,Hulptabel!$B$3:$B$152,Vlootplan!$X8,Hulptabel!$D$3:$D$152,Vlootplan!AB$4)/Deler)-E8)</f>
        <v>-0.43824701195219129</v>
      </c>
      <c r="AC8" s="364">
        <f>IF(Deler=0,0,(SUMIFS(Hulptabel!$G$3:$G$152,Hulptabel!$B$3:$B$152,Vlootplan!$X8,Hulptabel!$D$3:$D$152,Vlootplan!AC$4)/Deler)-F8)</f>
        <v>0</v>
      </c>
      <c r="AD8" s="365">
        <f>IF(Deler=0,0,(SUMIFS(Hulptabel!$G$3:$G$152,Hulptabel!$B$3:$B$152,Vlootplan!$X8,Hulptabel!$D$3:$D$152,Vlootplan!AD$4)/Deler)-G8)</f>
        <v>0</v>
      </c>
      <c r="AE8" s="363">
        <f>IF(Deler=0,0,(SUMIFS(Hulptabel!$G$3:$G$152,Hulptabel!$B$3:$B$152,Vlootplan!$X8,Hulptabel!$D$3:$D$152,Vlootplan!AE$4)/Deler)-H8)</f>
        <v>0</v>
      </c>
      <c r="AF8" s="364">
        <f>IF(Deler=0,0,(SUMIFS(Hulptabel!$G$3:$G$152,Hulptabel!$B$3:$B$152,Vlootplan!$X8,Hulptabel!$D$3:$D$152,Vlootplan!AF$4)/Deler)-I8)</f>
        <v>0</v>
      </c>
      <c r="AG8" s="364">
        <f>IF(Deler=0,0,(SUMIFS(Hulptabel!$G$3:$G$152,Hulptabel!$B$3:$B$152,Vlootplan!$X8,Hulptabel!$D$3:$D$152,Vlootplan!AG$4)/Deler)-J8)</f>
        <v>0</v>
      </c>
      <c r="AH8" s="364">
        <f>IF(Deler=0,0,(SUMIFS(Hulptabel!$G$3:$G$152,Hulptabel!$B$3:$B$152,Vlootplan!$X8,Hulptabel!$D$3:$D$152,Vlootplan!AH$4)/Deler)-K8)</f>
        <v>0</v>
      </c>
      <c r="AI8" s="366">
        <f>IF(Deler=0,0,(SUMIFS(Hulptabel!$G$3:$G$152,Hulptabel!$B$3:$B$152,Vlootplan!$X8,Hulptabel!$D$3:$D$152,Vlootplan!AI$4)/Deler)-L8)</f>
        <v>0</v>
      </c>
      <c r="AJ8" s="645">
        <v>0</v>
      </c>
      <c r="AK8" s="639">
        <v>0</v>
      </c>
      <c r="AL8" s="639">
        <v>0</v>
      </c>
      <c r="AM8" s="642">
        <v>0</v>
      </c>
      <c r="AN8" s="645">
        <v>0</v>
      </c>
      <c r="AO8" s="642">
        <v>0</v>
      </c>
      <c r="AP8" s="645">
        <v>0</v>
      </c>
      <c r="AQ8" s="648">
        <v>0</v>
      </c>
      <c r="AR8" s="630">
        <v>0</v>
      </c>
      <c r="AS8" s="633">
        <v>0</v>
      </c>
      <c r="AU8" s="228" t="s">
        <v>217</v>
      </c>
      <c r="AV8" t="s">
        <v>360</v>
      </c>
      <c r="AW8" s="241" t="s">
        <v>361</v>
      </c>
      <c r="AX8" s="254">
        <f t="shared" si="39"/>
        <v>0</v>
      </c>
      <c r="AY8" s="255">
        <f t="shared" si="37"/>
        <v>0.49062870699881378</v>
      </c>
      <c r="AZ8" s="255">
        <f t="shared" si="37"/>
        <v>0</v>
      </c>
      <c r="BA8" s="256">
        <f t="shared" si="37"/>
        <v>0</v>
      </c>
      <c r="BB8" s="254">
        <f t="shared" si="37"/>
        <v>0</v>
      </c>
      <c r="BC8" s="255">
        <f t="shared" si="37"/>
        <v>0</v>
      </c>
      <c r="BD8" s="255">
        <f t="shared" si="37"/>
        <v>0</v>
      </c>
      <c r="BE8" s="255">
        <f t="shared" si="37"/>
        <v>0</v>
      </c>
      <c r="BF8" s="257">
        <f t="shared" si="37"/>
        <v>0</v>
      </c>
      <c r="BG8" s="615">
        <f t="shared" si="37"/>
        <v>0</v>
      </c>
      <c r="BH8" s="636">
        <f t="shared" si="37"/>
        <v>0</v>
      </c>
      <c r="BI8" s="636">
        <f t="shared" si="37"/>
        <v>0</v>
      </c>
      <c r="BJ8" s="618">
        <f t="shared" si="37"/>
        <v>0</v>
      </c>
      <c r="BK8" s="615">
        <f t="shared" si="37"/>
        <v>0</v>
      </c>
      <c r="BL8" s="618">
        <f t="shared" si="37"/>
        <v>0</v>
      </c>
      <c r="BM8" s="615">
        <f t="shared" si="37"/>
        <v>0</v>
      </c>
      <c r="BN8" s="621">
        <f t="shared" si="37"/>
        <v>0</v>
      </c>
      <c r="BO8" s="624">
        <f t="shared" si="38"/>
        <v>0</v>
      </c>
      <c r="BP8" s="627">
        <f t="shared" si="38"/>
        <v>0</v>
      </c>
      <c r="BQ8" s="236"/>
      <c r="BR8" s="228" t="s">
        <v>217</v>
      </c>
      <c r="BS8" t="s">
        <v>360</v>
      </c>
      <c r="BT8" s="241" t="s">
        <v>361</v>
      </c>
      <c r="BU8" s="250">
        <f>SUMIFS(Hulptabel!$V$3:$V$152,Hulptabel!$B$3:$B$152,Vlootplan!$AU8,Hulptabel!$D$3:$D$152,Vlootplan!AX$4)</f>
        <v>0</v>
      </c>
      <c r="BV8" s="251">
        <f>SUMIFS(Hulptabel!$V$3:$V$152,Hulptabel!$B$3:$B$152,Vlootplan!$AU8,Hulptabel!$D$3:$D$152,Vlootplan!AY$4)</f>
        <v>94</v>
      </c>
      <c r="BW8" s="251">
        <f>SUMIFS(Hulptabel!$V$3:$V$152,Hulptabel!$B$3:$B$152,Vlootplan!$AU8,Hulptabel!$D$3:$D$152,Vlootplan!AZ$4)</f>
        <v>0</v>
      </c>
      <c r="BX8" s="252">
        <f>SUMIFS(Hulptabel!$V$3:$V$152,Hulptabel!$B$3:$B$152,Vlootplan!$AU8,Hulptabel!$D$3:$D$152,Vlootplan!BA$4)</f>
        <v>0</v>
      </c>
      <c r="BY8" s="250">
        <f>SUMIFS(Hulptabel!$V$3:$V$152,Hulptabel!$B$3:$B$152,Vlootplan!$AU8,Hulptabel!$D$3:$D$152,Vlootplan!BB$4)</f>
        <v>0</v>
      </c>
      <c r="BZ8" s="251">
        <f>SUMIFS(Hulptabel!$V$3:$V$152,Hulptabel!$B$3:$B$152,Vlootplan!$AU8,Hulptabel!$D$3:$D$152,Vlootplan!BC$4)</f>
        <v>0</v>
      </c>
      <c r="CA8" s="251">
        <f>SUMIFS(Hulptabel!$V$3:$V$152,Hulptabel!$B$3:$B$152,Vlootplan!$AU8,Hulptabel!$D$3:$D$152,Vlootplan!BD$4)</f>
        <v>0</v>
      </c>
      <c r="CB8" s="251">
        <f>SUMIFS(Hulptabel!$V$3:$V$152,Hulptabel!$B$3:$B$152,Vlootplan!$AU8,Hulptabel!$D$3:$D$152,Vlootplan!BE$4)</f>
        <v>0</v>
      </c>
      <c r="CC8" s="253">
        <f>SUMIFS(Hulptabel!$V$3:$V$152,Hulptabel!$B$3:$B$152,Vlootplan!$AU8,Hulptabel!$D$3:$D$152,Vlootplan!BF$4)</f>
        <v>0</v>
      </c>
      <c r="CD8" s="597"/>
      <c r="CE8" s="609"/>
      <c r="CF8" s="609"/>
      <c r="CG8" s="612"/>
      <c r="CH8" s="597"/>
      <c r="CI8" s="612"/>
      <c r="CJ8" s="597"/>
      <c r="CK8" s="600"/>
      <c r="CL8" s="603"/>
      <c r="CM8" s="606"/>
    </row>
    <row r="9" spans="1:91" s="258" customFormat="1" ht="24" customHeight="1" x14ac:dyDescent="0.25">
      <c r="B9" s="259"/>
      <c r="C9" s="260">
        <f>SUM(D9:V9)</f>
        <v>7</v>
      </c>
      <c r="D9" s="261">
        <f>SUM(D5:D8)</f>
        <v>3</v>
      </c>
      <c r="E9" s="261">
        <f t="shared" ref="E9:V9" si="40">SUM(E5:E8)</f>
        <v>2</v>
      </c>
      <c r="F9" s="261">
        <f t="shared" si="40"/>
        <v>2</v>
      </c>
      <c r="G9" s="261">
        <f t="shared" si="40"/>
        <v>0</v>
      </c>
      <c r="H9" s="261">
        <f t="shared" si="40"/>
        <v>0</v>
      </c>
      <c r="I9" s="261">
        <f t="shared" si="40"/>
        <v>0</v>
      </c>
      <c r="J9" s="261">
        <f t="shared" si="40"/>
        <v>0</v>
      </c>
      <c r="K9" s="261">
        <f t="shared" si="40"/>
        <v>0</v>
      </c>
      <c r="L9" s="261">
        <f t="shared" si="40"/>
        <v>0</v>
      </c>
      <c r="M9" s="261">
        <f t="shared" si="40"/>
        <v>0</v>
      </c>
      <c r="N9" s="261">
        <f t="shared" si="40"/>
        <v>0</v>
      </c>
      <c r="O9" s="261">
        <f t="shared" si="40"/>
        <v>0</v>
      </c>
      <c r="P9" s="261">
        <f t="shared" si="40"/>
        <v>0</v>
      </c>
      <c r="Q9" s="261">
        <f t="shared" si="40"/>
        <v>0</v>
      </c>
      <c r="R9" s="261">
        <f t="shared" si="40"/>
        <v>0</v>
      </c>
      <c r="S9" s="261">
        <f t="shared" si="40"/>
        <v>0</v>
      </c>
      <c r="T9" s="261">
        <f t="shared" si="40"/>
        <v>0</v>
      </c>
      <c r="U9" s="261">
        <f t="shared" si="40"/>
        <v>0</v>
      </c>
      <c r="V9" s="261">
        <f t="shared" si="40"/>
        <v>0</v>
      </c>
      <c r="Y9" s="259"/>
      <c r="Z9" s="262"/>
      <c r="AA9" s="367">
        <f t="shared" ref="AA9:AI9" si="41">SUM(AA5:AA8)</f>
        <v>-1.1474103585657369</v>
      </c>
      <c r="AB9" s="367">
        <f t="shared" si="41"/>
        <v>-1.1155378486055778</v>
      </c>
      <c r="AC9" s="367">
        <f t="shared" si="41"/>
        <v>-0.82868525896414347</v>
      </c>
      <c r="AD9" s="367">
        <f t="shared" si="41"/>
        <v>0</v>
      </c>
      <c r="AE9" s="367">
        <f t="shared" si="41"/>
        <v>0</v>
      </c>
      <c r="AF9" s="367">
        <f t="shared" si="41"/>
        <v>0</v>
      </c>
      <c r="AG9" s="367">
        <f t="shared" si="41"/>
        <v>0</v>
      </c>
      <c r="AH9" s="367">
        <f t="shared" si="41"/>
        <v>0</v>
      </c>
      <c r="AI9" s="367">
        <f t="shared" si="41"/>
        <v>0</v>
      </c>
      <c r="AJ9" s="367">
        <f>AJ5</f>
        <v>0</v>
      </c>
      <c r="AK9" s="367">
        <f>AK5</f>
        <v>0</v>
      </c>
      <c r="AL9" s="367">
        <f t="shared" ref="AL9:AS9" si="42">AL5</f>
        <v>0</v>
      </c>
      <c r="AM9" s="367">
        <f t="shared" si="42"/>
        <v>0</v>
      </c>
      <c r="AN9" s="367">
        <f t="shared" si="42"/>
        <v>0</v>
      </c>
      <c r="AO9" s="367">
        <f t="shared" si="42"/>
        <v>0</v>
      </c>
      <c r="AP9" s="367">
        <f t="shared" si="42"/>
        <v>0</v>
      </c>
      <c r="AQ9" s="367">
        <f t="shared" si="42"/>
        <v>0</v>
      </c>
      <c r="AR9" s="367">
        <f t="shared" si="42"/>
        <v>0</v>
      </c>
      <c r="AS9" s="367">
        <f t="shared" si="42"/>
        <v>0</v>
      </c>
      <c r="AV9" s="259"/>
      <c r="AW9" s="372">
        <f>IF(OR(C9=0,$AW$29=0),0,(BT9/C9)/$AW$29)</f>
        <v>0.51821725131333674</v>
      </c>
      <c r="AX9" s="372">
        <f t="shared" si="39"/>
        <v>0.26967180703835508</v>
      </c>
      <c r="AY9" s="372">
        <f t="shared" si="37"/>
        <v>0.38623962040332149</v>
      </c>
      <c r="AZ9" s="372">
        <f t="shared" si="37"/>
        <v>1.0230130486358244</v>
      </c>
      <c r="BA9" s="372">
        <f t="shared" si="37"/>
        <v>0</v>
      </c>
      <c r="BB9" s="372">
        <f t="shared" si="37"/>
        <v>0</v>
      </c>
      <c r="BC9" s="372">
        <f t="shared" si="37"/>
        <v>0</v>
      </c>
      <c r="BD9" s="372">
        <f t="shared" si="37"/>
        <v>0</v>
      </c>
      <c r="BE9" s="372">
        <f t="shared" si="37"/>
        <v>0</v>
      </c>
      <c r="BF9" s="372">
        <f t="shared" si="37"/>
        <v>0</v>
      </c>
      <c r="BG9" s="372">
        <f t="shared" si="37"/>
        <v>0</v>
      </c>
      <c r="BH9" s="372">
        <f t="shared" si="37"/>
        <v>0</v>
      </c>
      <c r="BI9" s="372">
        <f t="shared" si="37"/>
        <v>0</v>
      </c>
      <c r="BJ9" s="372">
        <f t="shared" si="37"/>
        <v>0</v>
      </c>
      <c r="BK9" s="372">
        <f t="shared" si="37"/>
        <v>0</v>
      </c>
      <c r="BL9" s="372">
        <f t="shared" si="37"/>
        <v>0</v>
      </c>
      <c r="BM9" s="372">
        <f t="shared" si="37"/>
        <v>0</v>
      </c>
      <c r="BN9" s="372">
        <f t="shared" si="37"/>
        <v>0</v>
      </c>
      <c r="BO9" s="372">
        <f t="shared" si="38"/>
        <v>0</v>
      </c>
      <c r="BP9" s="372">
        <f t="shared" si="38"/>
        <v>0</v>
      </c>
      <c r="BS9" s="259"/>
      <c r="BT9" s="260">
        <f>SUM(BU9:CM9)</f>
        <v>695</v>
      </c>
      <c r="BU9" s="261">
        <f>SUM(BU5:BU8)</f>
        <v>155</v>
      </c>
      <c r="BV9" s="261">
        <f t="shared" ref="BV9:CM9" si="43">SUM(BV5:BV8)</f>
        <v>148</v>
      </c>
      <c r="BW9" s="261">
        <f t="shared" si="43"/>
        <v>392</v>
      </c>
      <c r="BX9" s="261">
        <f t="shared" si="43"/>
        <v>0</v>
      </c>
      <c r="BY9" s="261">
        <f t="shared" si="43"/>
        <v>0</v>
      </c>
      <c r="BZ9" s="261">
        <f t="shared" si="43"/>
        <v>0</v>
      </c>
      <c r="CA9" s="261">
        <f t="shared" si="43"/>
        <v>0</v>
      </c>
      <c r="CB9" s="261">
        <f t="shared" si="43"/>
        <v>0</v>
      </c>
      <c r="CC9" s="261">
        <f t="shared" si="43"/>
        <v>0</v>
      </c>
      <c r="CD9" s="261">
        <f t="shared" si="43"/>
        <v>0</v>
      </c>
      <c r="CE9" s="261">
        <f t="shared" si="43"/>
        <v>0</v>
      </c>
      <c r="CF9" s="261">
        <f t="shared" si="43"/>
        <v>0</v>
      </c>
      <c r="CG9" s="261">
        <f t="shared" si="43"/>
        <v>0</v>
      </c>
      <c r="CH9" s="261">
        <f t="shared" si="43"/>
        <v>0</v>
      </c>
      <c r="CI9" s="261">
        <f t="shared" si="43"/>
        <v>0</v>
      </c>
      <c r="CJ9" s="261">
        <f t="shared" si="43"/>
        <v>0</v>
      </c>
      <c r="CK9" s="261">
        <f t="shared" si="43"/>
        <v>0</v>
      </c>
      <c r="CL9" s="261">
        <f t="shared" si="43"/>
        <v>0</v>
      </c>
      <c r="CM9" s="261">
        <f t="shared" si="43"/>
        <v>0</v>
      </c>
    </row>
    <row r="10" spans="1:91" x14ac:dyDescent="0.25">
      <c r="A10" s="228" t="s">
        <v>201</v>
      </c>
      <c r="C10" s="228" t="s">
        <v>351</v>
      </c>
      <c r="D10" s="229" t="str">
        <f>D4</f>
        <v>1x</v>
      </c>
      <c r="E10" s="229" t="str">
        <f t="shared" ref="E10:V10" si="44">E4</f>
        <v>2x</v>
      </c>
      <c r="F10" s="229" t="str">
        <f t="shared" si="44"/>
        <v>4x+</v>
      </c>
      <c r="G10" s="229" t="str">
        <f t="shared" si="44"/>
        <v>4x</v>
      </c>
      <c r="H10" s="229" t="str">
        <f t="shared" si="44"/>
        <v>2-</v>
      </c>
      <c r="I10" s="229" t="str">
        <f t="shared" si="44"/>
        <v>2+</v>
      </c>
      <c r="J10" s="229" t="str">
        <f t="shared" si="44"/>
        <v>4-</v>
      </c>
      <c r="K10" s="229" t="str">
        <f t="shared" si="44"/>
        <v>4+</v>
      </c>
      <c r="L10" s="229" t="str">
        <f t="shared" si="44"/>
        <v>8+</v>
      </c>
      <c r="M10" s="229" t="str">
        <f t="shared" si="44"/>
        <v>C1x</v>
      </c>
      <c r="N10" s="229" t="str">
        <f t="shared" si="44"/>
        <v>C2x</v>
      </c>
      <c r="O10" s="229" t="str">
        <f t="shared" si="44"/>
        <v>C2x+</v>
      </c>
      <c r="P10" s="229" t="str">
        <f t="shared" si="44"/>
        <v>C4x+</v>
      </c>
      <c r="Q10" s="229" t="str">
        <f t="shared" si="44"/>
        <v>C2+</v>
      </c>
      <c r="R10" s="229" t="str">
        <f t="shared" si="44"/>
        <v>C4+</v>
      </c>
      <c r="S10" s="229" t="str">
        <f t="shared" si="44"/>
        <v>W1x+</v>
      </c>
      <c r="T10" s="229" t="str">
        <f t="shared" si="44"/>
        <v>W2x+</v>
      </c>
      <c r="U10" s="229" t="str">
        <f t="shared" si="44"/>
        <v>W2+</v>
      </c>
      <c r="V10" s="229" t="str">
        <f t="shared" si="44"/>
        <v>W4+</v>
      </c>
      <c r="X10" s="228" t="s">
        <v>201</v>
      </c>
      <c r="Z10" s="228" t="s">
        <v>351</v>
      </c>
      <c r="AA10" s="368" t="str">
        <f>AA4</f>
        <v>1x</v>
      </c>
      <c r="AB10" s="368" t="str">
        <f t="shared" ref="AB10:AS10" si="45">AB4</f>
        <v>2x</v>
      </c>
      <c r="AC10" s="368" t="str">
        <f t="shared" si="45"/>
        <v>4x+</v>
      </c>
      <c r="AD10" s="368" t="str">
        <f t="shared" si="45"/>
        <v>4x</v>
      </c>
      <c r="AE10" s="368" t="str">
        <f t="shared" si="45"/>
        <v>2-</v>
      </c>
      <c r="AF10" s="368" t="str">
        <f t="shared" si="45"/>
        <v>2+</v>
      </c>
      <c r="AG10" s="368" t="str">
        <f t="shared" si="45"/>
        <v>4-</v>
      </c>
      <c r="AH10" s="368" t="str">
        <f t="shared" si="45"/>
        <v>4+</v>
      </c>
      <c r="AI10" s="368" t="str">
        <f t="shared" si="45"/>
        <v>8+</v>
      </c>
      <c r="AJ10" s="368" t="str">
        <f t="shared" si="45"/>
        <v>C1x</v>
      </c>
      <c r="AK10" s="368" t="str">
        <f t="shared" si="45"/>
        <v>C2x</v>
      </c>
      <c r="AL10" s="368" t="str">
        <f t="shared" si="45"/>
        <v>C2x+</v>
      </c>
      <c r="AM10" s="368" t="str">
        <f t="shared" si="45"/>
        <v>C4x+</v>
      </c>
      <c r="AN10" s="368" t="str">
        <f t="shared" si="45"/>
        <v>C2+</v>
      </c>
      <c r="AO10" s="368" t="str">
        <f t="shared" si="45"/>
        <v>C4+</v>
      </c>
      <c r="AP10" s="368" t="str">
        <f t="shared" si="45"/>
        <v>W1x+</v>
      </c>
      <c r="AQ10" s="368" t="str">
        <f t="shared" si="45"/>
        <v>W2x+</v>
      </c>
      <c r="AR10" s="368" t="str">
        <f t="shared" si="45"/>
        <v>W2+</v>
      </c>
      <c r="AS10" s="368" t="str">
        <f t="shared" si="45"/>
        <v>W4+</v>
      </c>
      <c r="AU10" s="228" t="s">
        <v>201</v>
      </c>
      <c r="AW10" s="228" t="s">
        <v>351</v>
      </c>
      <c r="AX10" s="229" t="str">
        <f>AX4</f>
        <v>1x</v>
      </c>
      <c r="AY10" s="229" t="str">
        <f t="shared" ref="AY10:BP10" si="46">AY4</f>
        <v>2x</v>
      </c>
      <c r="AZ10" s="229" t="str">
        <f t="shared" si="46"/>
        <v>4x+</v>
      </c>
      <c r="BA10" s="229" t="str">
        <f t="shared" si="46"/>
        <v>4x</v>
      </c>
      <c r="BB10" s="229" t="str">
        <f t="shared" si="46"/>
        <v>2-</v>
      </c>
      <c r="BC10" s="229" t="str">
        <f t="shared" si="46"/>
        <v>2+</v>
      </c>
      <c r="BD10" s="229" t="str">
        <f t="shared" si="46"/>
        <v>4-</v>
      </c>
      <c r="BE10" s="229" t="str">
        <f t="shared" si="46"/>
        <v>4+</v>
      </c>
      <c r="BF10" s="229" t="str">
        <f t="shared" si="46"/>
        <v>8+</v>
      </c>
      <c r="BG10" s="229" t="str">
        <f t="shared" si="46"/>
        <v>C1x</v>
      </c>
      <c r="BH10" s="229" t="str">
        <f t="shared" si="46"/>
        <v>C2x</v>
      </c>
      <c r="BI10" s="229" t="str">
        <f t="shared" si="46"/>
        <v>C2x+</v>
      </c>
      <c r="BJ10" s="229" t="str">
        <f t="shared" si="46"/>
        <v>C4x+</v>
      </c>
      <c r="BK10" s="229" t="str">
        <f t="shared" si="46"/>
        <v>C2+</v>
      </c>
      <c r="BL10" s="229" t="str">
        <f t="shared" si="46"/>
        <v>C4+</v>
      </c>
      <c r="BM10" s="229" t="str">
        <f t="shared" si="46"/>
        <v>W1x+</v>
      </c>
      <c r="BN10" s="229" t="str">
        <f t="shared" si="46"/>
        <v>W2x+</v>
      </c>
      <c r="BO10" s="229" t="str">
        <f t="shared" si="46"/>
        <v>W2+</v>
      </c>
      <c r="BP10" s="229" t="str">
        <f t="shared" si="46"/>
        <v>W4+</v>
      </c>
      <c r="BR10" s="228" t="s">
        <v>201</v>
      </c>
      <c r="BT10" s="228" t="s">
        <v>351</v>
      </c>
      <c r="BU10" s="229" t="str">
        <f>BU4</f>
        <v>1x</v>
      </c>
      <c r="BV10" s="229" t="str">
        <f t="shared" ref="BV10:CM10" si="47">BV4</f>
        <v>2x</v>
      </c>
      <c r="BW10" s="229" t="str">
        <f t="shared" si="47"/>
        <v>4x+</v>
      </c>
      <c r="BX10" s="229" t="str">
        <f t="shared" si="47"/>
        <v>4x</v>
      </c>
      <c r="BY10" s="229" t="str">
        <f t="shared" si="47"/>
        <v>2-</v>
      </c>
      <c r="BZ10" s="229" t="str">
        <f t="shared" si="47"/>
        <v>2+</v>
      </c>
      <c r="CA10" s="229" t="str">
        <f t="shared" si="47"/>
        <v>4-</v>
      </c>
      <c r="CB10" s="229" t="str">
        <f t="shared" si="47"/>
        <v>4+</v>
      </c>
      <c r="CC10" s="229" t="str">
        <f t="shared" si="47"/>
        <v>8+</v>
      </c>
      <c r="CD10" s="229" t="str">
        <f t="shared" si="47"/>
        <v>C1x</v>
      </c>
      <c r="CE10" s="229" t="str">
        <f t="shared" si="47"/>
        <v>C2x</v>
      </c>
      <c r="CF10" s="229" t="str">
        <f t="shared" si="47"/>
        <v>C2x+</v>
      </c>
      <c r="CG10" s="229" t="str">
        <f t="shared" si="47"/>
        <v>C4x+</v>
      </c>
      <c r="CH10" s="229" t="str">
        <f t="shared" si="47"/>
        <v>C2+</v>
      </c>
      <c r="CI10" s="229" t="str">
        <f t="shared" si="47"/>
        <v>C4+</v>
      </c>
      <c r="CJ10" s="229" t="str">
        <f t="shared" si="47"/>
        <v>W1x+</v>
      </c>
      <c r="CK10" s="229" t="str">
        <f t="shared" si="47"/>
        <v>W2x+</v>
      </c>
      <c r="CL10" s="229" t="str">
        <f t="shared" si="47"/>
        <v>W2+</v>
      </c>
      <c r="CM10" s="229" t="str">
        <f t="shared" si="47"/>
        <v>W4+</v>
      </c>
    </row>
    <row r="11" spans="1:91" x14ac:dyDescent="0.25">
      <c r="A11" s="228" t="s">
        <v>211</v>
      </c>
      <c r="B11" s="241" t="str">
        <f>B5</f>
        <v>Zeer zwaar</v>
      </c>
      <c r="C11" s="241" t="str">
        <f>C5</f>
        <v>86-95+</v>
      </c>
      <c r="D11" s="232">
        <f>COUNTIFS(Hulptabel!$B$3:$B$152,Vlootplan!$A11,Hulptabel!$D$3:$D$152,Vlootplan!D$4)</f>
        <v>1</v>
      </c>
      <c r="E11" s="233">
        <f>COUNTIFS(Hulptabel!$B$3:$B$152,Vlootplan!$A11,Hulptabel!$D$3:$D$152,Vlootplan!E$4)</f>
        <v>0</v>
      </c>
      <c r="F11" s="233">
        <f>COUNTIFS(Hulptabel!$B$3:$B$152,Vlootplan!$A11,Hulptabel!$D$3:$D$152,Vlootplan!F$4)</f>
        <v>0</v>
      </c>
      <c r="G11" s="234">
        <f>COUNTIFS(Hulptabel!$B$3:$B$152,Vlootplan!$A11,Hulptabel!$D$3:$D$152,Vlootplan!G$4)</f>
        <v>0</v>
      </c>
      <c r="H11" s="232">
        <f>COUNTIFS(Hulptabel!$B$3:$B$152,Vlootplan!$A11,Hulptabel!$D$3:$D$152,Vlootplan!H$4)</f>
        <v>1</v>
      </c>
      <c r="I11" s="233">
        <f>COUNTIFS(Hulptabel!$B$3:$B$152,Vlootplan!$A11,Hulptabel!$D$3:$D$152,Vlootplan!I$4)</f>
        <v>0</v>
      </c>
      <c r="J11" s="233">
        <f>COUNTIFS(Hulptabel!$B$3:$B$152,Vlootplan!$A11,Hulptabel!$D$3:$D$152,Vlootplan!J$4)</f>
        <v>0</v>
      </c>
      <c r="K11" s="233">
        <f>COUNTIFS(Hulptabel!$B$3:$B$152,Vlootplan!$A11,Hulptabel!$D$3:$D$152,Vlootplan!K$4)</f>
        <v>0</v>
      </c>
      <c r="L11" s="235">
        <f>COUNTIFS(Hulptabel!$B$3:$B$152,Vlootplan!$A11,Hulptabel!$D$3:$D$152,Vlootplan!L$4)</f>
        <v>0</v>
      </c>
      <c r="M11" s="532">
        <f>COUNTIFS(Hulptabel!$B$3:$B$152,2,Hulptabel!$D$3:$D$152,Vlootplan!M$4)</f>
        <v>0</v>
      </c>
      <c r="N11" s="535">
        <f>COUNTIFS(Hulptabel!$B$3:$B$152,2,Hulptabel!$D$3:$D$152,Vlootplan!N$4)</f>
        <v>0</v>
      </c>
      <c r="O11" s="535">
        <f>COUNTIFS(Hulptabel!$B$3:$B$152,2,Hulptabel!$D$3:$D$152,Vlootplan!O$4)</f>
        <v>1</v>
      </c>
      <c r="P11" s="535">
        <f>COUNTIFS(Hulptabel!$B$3:$B$152,2,Hulptabel!$D$3:$D$152,Vlootplan!P$4)</f>
        <v>1</v>
      </c>
      <c r="Q11" s="520">
        <f>COUNTIFS(Hulptabel!$B$3:$B$152,2,Hulptabel!$D$3:$D$152,Vlootplan!Q$4)</f>
        <v>0</v>
      </c>
      <c r="R11" s="538">
        <f>COUNTIFS(Hulptabel!$B$3:$B$152,2,Hulptabel!$D$3:$D$152,Vlootplan!R$4)</f>
        <v>0</v>
      </c>
      <c r="S11" s="520">
        <f>COUNTIFS(Hulptabel!$B$3:$B$152,2,Hulptabel!$D$3:$D$152,Vlootplan!S$4)</f>
        <v>0</v>
      </c>
      <c r="T11" s="523">
        <f>COUNTIFS(Hulptabel!$B$3:$B$152,2,Hulptabel!$D$3:$D$152,Vlootplan!T$4)</f>
        <v>2</v>
      </c>
      <c r="U11" s="526">
        <f>COUNTIFS(Hulptabel!$B$3:$B$152,2,Hulptabel!$D$3:$D$152,Vlootplan!U$4)</f>
        <v>0</v>
      </c>
      <c r="V11" s="529">
        <f>COUNTIFS(Hulptabel!$B$3:$B$152,2,Hulptabel!$D$3:$D$152,Vlootplan!V$4)</f>
        <v>0</v>
      </c>
      <c r="W11" s="236"/>
      <c r="X11" s="228" t="s">
        <v>211</v>
      </c>
      <c r="Y11" s="241" t="str">
        <f>Y5</f>
        <v>Zeer zwaar</v>
      </c>
      <c r="Z11" s="241" t="str">
        <f>Z5</f>
        <v>86-95+</v>
      </c>
      <c r="AA11" s="355">
        <f>IF(Deler=0,0,(SUMIFS(Hulptabel!$G$3:$G$152,Hulptabel!$B$3:$B$152,Vlootplan!$X11,Hulptabel!$D$3:$D$152,Vlootplan!AA$4)/Deler)-D11)</f>
        <v>-0.27091633466135467</v>
      </c>
      <c r="AB11" s="356">
        <f>IF(Deler=0,0,(SUMIFS(Hulptabel!$G$3:$G$152,Hulptabel!$B$3:$B$152,Vlootplan!$X11,Hulptabel!$D$3:$D$152,Vlootplan!AB$4)/Deler)-E11)</f>
        <v>0</v>
      </c>
      <c r="AC11" s="356">
        <f>IF(Deler=0,0,(SUMIFS(Hulptabel!$G$3:$G$152,Hulptabel!$B$3:$B$152,Vlootplan!$X11,Hulptabel!$D$3:$D$152,Vlootplan!AC$4)/Deler)-F11)</f>
        <v>0</v>
      </c>
      <c r="AD11" s="357">
        <f>IF(Deler=0,0,(SUMIFS(Hulptabel!$G$3:$G$152,Hulptabel!$B$3:$B$152,Vlootplan!$X11,Hulptabel!$D$3:$D$152,Vlootplan!AD$4)/Deler)-G11)</f>
        <v>0</v>
      </c>
      <c r="AE11" s="355">
        <f>IF(Deler=0,0,(SUMIFS(Hulptabel!$G$3:$G$152,Hulptabel!$B$3:$B$152,Vlootplan!$X11,Hulptabel!$D$3:$D$152,Vlootplan!AE$4)/Deler)-H11)</f>
        <v>-0.15139442231075706</v>
      </c>
      <c r="AF11" s="356">
        <f>IF(Deler=0,0,(SUMIFS(Hulptabel!$G$3:$G$152,Hulptabel!$B$3:$B$152,Vlootplan!$X11,Hulptabel!$D$3:$D$152,Vlootplan!AF$4)/Deler)-I11)</f>
        <v>0</v>
      </c>
      <c r="AG11" s="356">
        <f>IF(Deler=0,0,(SUMIFS(Hulptabel!$G$3:$G$152,Hulptabel!$B$3:$B$152,Vlootplan!$X11,Hulptabel!$D$3:$D$152,Vlootplan!AG$4)/Deler)-J11)</f>
        <v>0</v>
      </c>
      <c r="AH11" s="356">
        <f>IF(Deler=0,0,(SUMIFS(Hulptabel!$G$3:$G$152,Hulptabel!$B$3:$B$152,Vlootplan!$X11,Hulptabel!$D$3:$D$152,Vlootplan!AH$4)/Deler)-K11)</f>
        <v>0</v>
      </c>
      <c r="AI11" s="358">
        <f>IF(Deler=0,0,(SUMIFS(Hulptabel!$G$3:$G$152,Hulptabel!$B$3:$B$152,Vlootplan!$X11,Hulptabel!$D$3:$D$152,Vlootplan!AI$4)/Deler)-L11)</f>
        <v>0</v>
      </c>
      <c r="AJ11" s="577">
        <f>IF(Deler=0,0,(SUMIFS(Hulptabel!$G$3:$G$152,Hulptabel!$B$3:$B$152,2,Hulptabel!$D$3:$D$152,Vlootplan!AJ$4)/Deler)-M11)</f>
        <v>0</v>
      </c>
      <c r="AK11" s="586">
        <f>IF(Deler=0,0,(SUMIFS(Hulptabel!$G$3:$G$152,Hulptabel!$B$3:$B$152,2,Hulptabel!$D$3:$D$152,Vlootplan!AK$4)/Deler)-N11)</f>
        <v>0</v>
      </c>
      <c r="AL11" s="586">
        <f>IF(Deler=0,0,(SUMIFS(Hulptabel!$G$3:$G$152,Hulptabel!$B$3:$B$152,2,Hulptabel!$D$3:$D$152,Vlootplan!AL$4)/Deler)-O11)</f>
        <v>0.7689243027888446</v>
      </c>
      <c r="AM11" s="589">
        <f>IF(Deler=0,0,(SUMIFS(Hulptabel!$G$3:$G$152,Hulptabel!$B$3:$B$152,2,Hulptabel!$D$3:$D$152,Vlootplan!AM$4)/Deler)-P11)</f>
        <v>1.3904382470119518</v>
      </c>
      <c r="AN11" s="577">
        <f>IF(Deler=0,0,(SUMIFS(Hulptabel!$G$3:$G$152,Hulptabel!$B$3:$B$152,2,Hulptabel!$D$3:$D$152,Vlootplan!AN$4)/Deler)-Q11)</f>
        <v>0</v>
      </c>
      <c r="AO11" s="589">
        <f>IF(Deler=0,0,(SUMIFS(Hulptabel!$G$3:$G$152,Hulptabel!$B$3:$B$152,2,Hulptabel!$D$3:$D$152,Vlootplan!AO$4)/Deler)-R11)</f>
        <v>0</v>
      </c>
      <c r="AP11" s="577">
        <f>IF(Deler=0,0,(SUMIFS(Hulptabel!$G$3:$G$152,Hulptabel!$B$3:$B$152,2,Hulptabel!$D$3:$D$152,Vlootplan!AP$4)/Deler)-S11)</f>
        <v>0</v>
      </c>
      <c r="AQ11" s="592">
        <f>IF(Deler=0,0,(SUMIFS(Hulptabel!$G$3:$G$152,Hulptabel!$B$3:$B$152,2,Hulptabel!$D$3:$D$152,Vlootplan!AQ$4)/Deler)-T11)</f>
        <v>0.41434262948207179</v>
      </c>
      <c r="AR11" s="580">
        <f>IF(Deler=0,0,(SUMIFS(Hulptabel!$G$3:$G$152,Hulptabel!$B$3:$B$152,2,Hulptabel!$D$3:$D$152,Vlootplan!AR$4)/Deler)-U11)</f>
        <v>0</v>
      </c>
      <c r="AS11" s="583">
        <f>IF(Deler=0,0,(SUMIFS(Hulptabel!$G$3:$G$152,Hulptabel!$B$3:$B$152,2,Hulptabel!$D$3:$D$152,Vlootplan!AS$4)/Deler)-V11)</f>
        <v>0</v>
      </c>
      <c r="AU11" s="228" t="s">
        <v>211</v>
      </c>
      <c r="AV11" s="241" t="str">
        <f>AV5</f>
        <v>Zeer zwaar</v>
      </c>
      <c r="AW11" s="241" t="str">
        <f>AW5</f>
        <v>86-95+</v>
      </c>
      <c r="AX11" s="237">
        <f t="shared" ref="AX11:BM15" si="48">IF(OR(D11=0,$AW$29=0),0,(BU11/D11)/$AW$29)</f>
        <v>0.31838671411625147</v>
      </c>
      <c r="AY11" s="238">
        <f t="shared" si="48"/>
        <v>0</v>
      </c>
      <c r="AZ11" s="238">
        <f t="shared" si="48"/>
        <v>0</v>
      </c>
      <c r="BA11" s="239">
        <f t="shared" si="48"/>
        <v>0</v>
      </c>
      <c r="BB11" s="237">
        <f t="shared" si="48"/>
        <v>0.74116251482799522</v>
      </c>
      <c r="BC11" s="238">
        <f t="shared" si="48"/>
        <v>0</v>
      </c>
      <c r="BD11" s="238">
        <f t="shared" si="48"/>
        <v>0</v>
      </c>
      <c r="BE11" s="238">
        <f t="shared" si="48"/>
        <v>0</v>
      </c>
      <c r="BF11" s="240">
        <f t="shared" si="48"/>
        <v>0</v>
      </c>
      <c r="BG11" s="541">
        <f t="shared" si="48"/>
        <v>0</v>
      </c>
      <c r="BH11" s="562">
        <f t="shared" si="48"/>
        <v>0</v>
      </c>
      <c r="BI11" s="562">
        <f t="shared" si="48"/>
        <v>1.544958481613286</v>
      </c>
      <c r="BJ11" s="544">
        <f t="shared" si="48"/>
        <v>4.1755634638196915</v>
      </c>
      <c r="BK11" s="541">
        <f t="shared" si="48"/>
        <v>0</v>
      </c>
      <c r="BL11" s="544">
        <f t="shared" si="48"/>
        <v>0</v>
      </c>
      <c r="BM11" s="541">
        <f t="shared" si="48"/>
        <v>0</v>
      </c>
      <c r="BN11" s="547">
        <f t="shared" ref="BN11:BP15" si="49">IF(OR(T11=0,$AW$29=0),0,(CK11/T11)/$AW$29)</f>
        <v>1.0543297746144722</v>
      </c>
      <c r="BO11" s="550">
        <f t="shared" si="49"/>
        <v>0</v>
      </c>
      <c r="BP11" s="553">
        <f t="shared" si="49"/>
        <v>0</v>
      </c>
      <c r="BQ11" s="236"/>
      <c r="BR11" s="228" t="s">
        <v>211</v>
      </c>
      <c r="BS11" s="241" t="str">
        <f>BS5</f>
        <v>Zeer zwaar</v>
      </c>
      <c r="BT11" s="241" t="str">
        <f>BT5</f>
        <v>86-95+</v>
      </c>
      <c r="BU11" s="232">
        <f>SUMIFS(Hulptabel!$V$3:$V$152,Hulptabel!$B$3:$B$152,Vlootplan!$AU11,Hulptabel!$D$3:$D$152,Vlootplan!AX$4)</f>
        <v>61</v>
      </c>
      <c r="BV11" s="233">
        <f>SUMIFS(Hulptabel!$V$3:$V$152,Hulptabel!$B$3:$B$152,Vlootplan!$AU11,Hulptabel!$D$3:$D$152,Vlootplan!AY$4)</f>
        <v>0</v>
      </c>
      <c r="BW11" s="233">
        <f>SUMIFS(Hulptabel!$V$3:$V$152,Hulptabel!$B$3:$B$152,Vlootplan!$AU11,Hulptabel!$D$3:$D$152,Vlootplan!AZ$4)</f>
        <v>0</v>
      </c>
      <c r="BX11" s="234">
        <f>SUMIFS(Hulptabel!$V$3:$V$152,Hulptabel!$B$3:$B$152,Vlootplan!$AU11,Hulptabel!$D$3:$D$152,Vlootplan!BA$4)</f>
        <v>0</v>
      </c>
      <c r="BY11" s="232">
        <f>SUMIFS(Hulptabel!$V$3:$V$152,Hulptabel!$B$3:$B$152,Vlootplan!$AU11,Hulptabel!$D$3:$D$152,Vlootplan!BB$4)</f>
        <v>142</v>
      </c>
      <c r="BZ11" s="233">
        <f>SUMIFS(Hulptabel!$V$3:$V$152,Hulptabel!$B$3:$B$152,Vlootplan!$AU11,Hulptabel!$D$3:$D$152,Vlootplan!BC$4)</f>
        <v>0</v>
      </c>
      <c r="CA11" s="233">
        <f>SUMIFS(Hulptabel!$V$3:$V$152,Hulptabel!$B$3:$B$152,Vlootplan!$AU11,Hulptabel!$D$3:$D$152,Vlootplan!BD$4)</f>
        <v>0</v>
      </c>
      <c r="CB11" s="233">
        <f>SUMIFS(Hulptabel!$V$3:$V$152,Hulptabel!$B$3:$B$152,Vlootplan!$AU11,Hulptabel!$D$3:$D$152,Vlootplan!BE$4)</f>
        <v>0</v>
      </c>
      <c r="CC11" s="235">
        <f>SUMIFS(Hulptabel!$V$3:$V$152,Hulptabel!$B$3:$B$152,Vlootplan!$AU11,Hulptabel!$D$3:$D$152,Vlootplan!BF$4)</f>
        <v>0</v>
      </c>
      <c r="CD11" s="532">
        <f>SUMIFS(Hulptabel!$V$3:$V$152,Hulptabel!$B$3:$B$152,2,Hulptabel!$D$3:$D$152,Vlootplan!BG$4)</f>
        <v>0</v>
      </c>
      <c r="CE11" s="535">
        <f>SUMIFS(Hulptabel!$V$3:$V$152,Hulptabel!$B$3:$B$152,2,Hulptabel!$D$3:$D$152,Vlootplan!BH$4)</f>
        <v>0</v>
      </c>
      <c r="CF11" s="535">
        <f>SUMIFS(Hulptabel!$V$3:$V$152,Hulptabel!$B$3:$B$152,2,Hulptabel!$D$3:$D$152,Vlootplan!BI$4)</f>
        <v>296</v>
      </c>
      <c r="CG11" s="535">
        <f>SUMIFS(Hulptabel!$V$3:$V$152,Hulptabel!$B$3:$B$152,2,Hulptabel!$D$3:$D$152,Vlootplan!BJ$4)</f>
        <v>800</v>
      </c>
      <c r="CH11" s="520">
        <f>SUMIFS(Hulptabel!$V$3:$V$152,Hulptabel!$B$3:$B$152,2,Hulptabel!$D$3:$D$152,Vlootplan!BK$4)</f>
        <v>0</v>
      </c>
      <c r="CI11" s="538">
        <f>SUMIFS(Hulptabel!$V$3:$V$152,Hulptabel!$B$3:$B$152,2,Hulptabel!$D$3:$D$152,Vlootplan!BL$4)</f>
        <v>0</v>
      </c>
      <c r="CJ11" s="520">
        <f>SUMIFS(Hulptabel!$V$3:$V$152,Hulptabel!$B$3:$B$152,2,Hulptabel!$D$3:$D$152,Vlootplan!BM$4)</f>
        <v>0</v>
      </c>
      <c r="CK11" s="523">
        <f>SUMIFS(Hulptabel!$V$3:$V$152,Hulptabel!$B$3:$B$152,2,Hulptabel!$D$3:$D$152,Vlootplan!BN$4)</f>
        <v>404</v>
      </c>
      <c r="CL11" s="526">
        <f>SUMIFS(Hulptabel!$V$3:$V$152,Hulptabel!$B$3:$B$152,2,Hulptabel!$D$3:$D$152,Vlootplan!BO$4)</f>
        <v>0</v>
      </c>
      <c r="CM11" s="529">
        <f>SUMIFS(Hulptabel!$V$3:$V$152,Hulptabel!$B$3:$B$152,2,Hulptabel!$D$3:$D$152,Vlootplan!BP$4)</f>
        <v>0</v>
      </c>
    </row>
    <row r="12" spans="1:91" x14ac:dyDescent="0.25">
      <c r="A12" s="228" t="s">
        <v>205</v>
      </c>
      <c r="B12" s="241" t="str">
        <f t="shared" ref="B12:C14" si="50">B6</f>
        <v>Zwaar</v>
      </c>
      <c r="C12" s="241" t="str">
        <f t="shared" si="50"/>
        <v>76-85</v>
      </c>
      <c r="D12" s="242">
        <f>COUNTIFS(Hulptabel!$B$3:$B$152,Vlootplan!$A12,Hulptabel!$D$3:$D$152,Vlootplan!D$4)</f>
        <v>5</v>
      </c>
      <c r="E12" s="243">
        <f>COUNTIFS(Hulptabel!$B$3:$B$152,Vlootplan!$A12,Hulptabel!$D$3:$D$152,Vlootplan!E$4)</f>
        <v>3</v>
      </c>
      <c r="F12" s="243">
        <f>COUNTIFS(Hulptabel!$B$3:$B$152,Vlootplan!$A12,Hulptabel!$D$3:$D$152,Vlootplan!F$4)</f>
        <v>2</v>
      </c>
      <c r="G12" s="244">
        <f>COUNTIFS(Hulptabel!$B$3:$B$152,Vlootplan!$A12,Hulptabel!$D$3:$D$152,Vlootplan!G$4)</f>
        <v>0</v>
      </c>
      <c r="H12" s="242">
        <f>COUNTIFS(Hulptabel!$B$3:$B$152,Vlootplan!$A12,Hulptabel!$D$3:$D$152,Vlootplan!H$4)</f>
        <v>0</v>
      </c>
      <c r="I12" s="243">
        <f>COUNTIFS(Hulptabel!$B$3:$B$152,Vlootplan!$A12,Hulptabel!$D$3:$D$152,Vlootplan!I$4)</f>
        <v>0</v>
      </c>
      <c r="J12" s="243">
        <f>COUNTIFS(Hulptabel!$B$3:$B$152,Vlootplan!$A12,Hulptabel!$D$3:$D$152,Vlootplan!J$4)</f>
        <v>0</v>
      </c>
      <c r="K12" s="243">
        <f>COUNTIFS(Hulptabel!$B$3:$B$152,Vlootplan!$A12,Hulptabel!$D$3:$D$152,Vlootplan!K$4)</f>
        <v>1</v>
      </c>
      <c r="L12" s="245">
        <f>COUNTIFS(Hulptabel!$B$3:$B$152,Vlootplan!$A12,Hulptabel!$D$3:$D$152,Vlootplan!L$4)</f>
        <v>1</v>
      </c>
      <c r="M12" s="533"/>
      <c r="N12" s="536"/>
      <c r="O12" s="536"/>
      <c r="P12" s="536"/>
      <c r="Q12" s="521"/>
      <c r="R12" s="539"/>
      <c r="S12" s="521"/>
      <c r="T12" s="524"/>
      <c r="U12" s="527"/>
      <c r="V12" s="530"/>
      <c r="W12" s="236"/>
      <c r="X12" s="228" t="s">
        <v>205</v>
      </c>
      <c r="Y12" s="241" t="str">
        <f t="shared" ref="Y12:Z14" si="51">Y6</f>
        <v>Zwaar</v>
      </c>
      <c r="Z12" s="241" t="str">
        <f t="shared" si="51"/>
        <v>76-85</v>
      </c>
      <c r="AA12" s="359">
        <f>IF(Deler=0,0,(SUMIFS(Hulptabel!$G$3:$G$152,Hulptabel!$B$3:$B$152,Vlootplan!$X12,Hulptabel!$D$3:$D$152,Vlootplan!AA$4)/Deler)-D12)</f>
        <v>3.904382470119522</v>
      </c>
      <c r="AB12" s="360">
        <f>IF(Deler=0,0,(SUMIFS(Hulptabel!$G$3:$G$152,Hulptabel!$B$3:$B$152,Vlootplan!$X12,Hulptabel!$D$3:$D$152,Vlootplan!AB$4)/Deler)-E12)</f>
        <v>1.1474103585657369</v>
      </c>
      <c r="AC12" s="360">
        <f>IF(Deler=0,0,(SUMIFS(Hulptabel!$G$3:$G$152,Hulptabel!$B$3:$B$152,Vlootplan!$X12,Hulptabel!$D$3:$D$152,Vlootplan!AC$4)/Deler)-F12)</f>
        <v>3.2709163346613543</v>
      </c>
      <c r="AD12" s="361">
        <f>IF(Deler=0,0,(SUMIFS(Hulptabel!$G$3:$G$152,Hulptabel!$B$3:$B$152,Vlootplan!$X12,Hulptabel!$D$3:$D$152,Vlootplan!AD$4)/Deler)-G12)</f>
        <v>0</v>
      </c>
      <c r="AE12" s="359">
        <f>IF(Deler=0,0,(SUMIFS(Hulptabel!$G$3:$G$152,Hulptabel!$B$3:$B$152,Vlootplan!$X12,Hulptabel!$D$3:$D$152,Vlootplan!AE$4)/Deler)-H12)</f>
        <v>0</v>
      </c>
      <c r="AF12" s="360">
        <f>IF(Deler=0,0,(SUMIFS(Hulptabel!$G$3:$G$152,Hulptabel!$B$3:$B$152,Vlootplan!$X12,Hulptabel!$D$3:$D$152,Vlootplan!AF$4)/Deler)-I12)</f>
        <v>0</v>
      </c>
      <c r="AG12" s="360">
        <f>IF(Deler=0,0,(SUMIFS(Hulptabel!$G$3:$G$152,Hulptabel!$B$3:$B$152,Vlootplan!$X12,Hulptabel!$D$3:$D$152,Vlootplan!AG$4)/Deler)-J12)</f>
        <v>0</v>
      </c>
      <c r="AH12" s="360">
        <f>IF(Deler=0,0,(SUMIFS(Hulptabel!$G$3:$G$152,Hulptabel!$B$3:$B$152,Vlootplan!$X12,Hulptabel!$D$3:$D$152,Vlootplan!AH$4)/Deler)-K12)</f>
        <v>-0.36653386454183268</v>
      </c>
      <c r="AI12" s="362">
        <f>IF(Deler=0,0,(SUMIFS(Hulptabel!$G$3:$G$152,Hulptabel!$B$3:$B$152,Vlootplan!$X12,Hulptabel!$D$3:$D$152,Vlootplan!AI$4)/Deler)-L12)</f>
        <v>-0.12749003984063745</v>
      </c>
      <c r="AJ12" s="578">
        <v>0</v>
      </c>
      <c r="AK12" s="587">
        <v>0</v>
      </c>
      <c r="AL12" s="587">
        <v>0</v>
      </c>
      <c r="AM12" s="590">
        <v>0</v>
      </c>
      <c r="AN12" s="578">
        <v>0</v>
      </c>
      <c r="AO12" s="590">
        <v>0</v>
      </c>
      <c r="AP12" s="578">
        <v>0</v>
      </c>
      <c r="AQ12" s="593">
        <v>0</v>
      </c>
      <c r="AR12" s="581">
        <v>0</v>
      </c>
      <c r="AS12" s="584">
        <v>0</v>
      </c>
      <c r="AU12" s="228" t="s">
        <v>205</v>
      </c>
      <c r="AV12" s="241" t="str">
        <f t="shared" ref="AV12:AW14" si="52">AV6</f>
        <v>Zwaar</v>
      </c>
      <c r="AW12" s="241" t="str">
        <f t="shared" si="52"/>
        <v>76-85</v>
      </c>
      <c r="AX12" s="246">
        <f t="shared" si="48"/>
        <v>0.77769869513641754</v>
      </c>
      <c r="AY12" s="247">
        <f t="shared" si="48"/>
        <v>1.2074337682878609</v>
      </c>
      <c r="AZ12" s="247">
        <f t="shared" si="48"/>
        <v>4.6035587188612102</v>
      </c>
      <c r="BA12" s="248">
        <f t="shared" si="48"/>
        <v>0</v>
      </c>
      <c r="BB12" s="246">
        <f t="shared" si="48"/>
        <v>0</v>
      </c>
      <c r="BC12" s="247">
        <f t="shared" si="48"/>
        <v>0</v>
      </c>
      <c r="BD12" s="247">
        <f t="shared" si="48"/>
        <v>0</v>
      </c>
      <c r="BE12" s="247">
        <f t="shared" si="48"/>
        <v>1.1065243179122182</v>
      </c>
      <c r="BF12" s="249">
        <f t="shared" si="48"/>
        <v>3.0481613285883746</v>
      </c>
      <c r="BG12" s="542">
        <f t="shared" si="48"/>
        <v>0</v>
      </c>
      <c r="BH12" s="563">
        <f t="shared" si="48"/>
        <v>0</v>
      </c>
      <c r="BI12" s="563">
        <f t="shared" si="48"/>
        <v>0</v>
      </c>
      <c r="BJ12" s="545">
        <f t="shared" si="48"/>
        <v>0</v>
      </c>
      <c r="BK12" s="542">
        <f t="shared" si="48"/>
        <v>0</v>
      </c>
      <c r="BL12" s="545">
        <f t="shared" si="48"/>
        <v>0</v>
      </c>
      <c r="BM12" s="542">
        <f t="shared" si="48"/>
        <v>0</v>
      </c>
      <c r="BN12" s="548">
        <f t="shared" si="49"/>
        <v>0</v>
      </c>
      <c r="BO12" s="551">
        <f t="shared" si="49"/>
        <v>0</v>
      </c>
      <c r="BP12" s="554">
        <f t="shared" si="49"/>
        <v>0</v>
      </c>
      <c r="BQ12" s="236"/>
      <c r="BR12" s="228" t="s">
        <v>205</v>
      </c>
      <c r="BS12" s="241" t="str">
        <f t="shared" ref="BS12:BT14" si="53">BS6</f>
        <v>Zwaar</v>
      </c>
      <c r="BT12" s="241" t="str">
        <f t="shared" si="53"/>
        <v>76-85</v>
      </c>
      <c r="BU12" s="242">
        <f>SUMIFS(Hulptabel!$V$3:$V$152,Hulptabel!$B$3:$B$152,Vlootplan!$AU12,Hulptabel!$D$3:$D$152,Vlootplan!AX$4)</f>
        <v>745</v>
      </c>
      <c r="BV12" s="243">
        <f>SUMIFS(Hulptabel!$V$3:$V$152,Hulptabel!$B$3:$B$152,Vlootplan!$AU12,Hulptabel!$D$3:$D$152,Vlootplan!AY$4)</f>
        <v>694</v>
      </c>
      <c r="BW12" s="243">
        <f>SUMIFS(Hulptabel!$V$3:$V$152,Hulptabel!$B$3:$B$152,Vlootplan!$AU12,Hulptabel!$D$3:$D$152,Vlootplan!AZ$4)</f>
        <v>1764</v>
      </c>
      <c r="BX12" s="244">
        <f>SUMIFS(Hulptabel!$V$3:$V$152,Hulptabel!$B$3:$B$152,Vlootplan!$AU12,Hulptabel!$D$3:$D$152,Vlootplan!BA$4)</f>
        <v>0</v>
      </c>
      <c r="BY12" s="242">
        <f>SUMIFS(Hulptabel!$V$3:$V$152,Hulptabel!$B$3:$B$152,Vlootplan!$AU12,Hulptabel!$D$3:$D$152,Vlootplan!BB$4)</f>
        <v>0</v>
      </c>
      <c r="BZ12" s="243">
        <f>SUMIFS(Hulptabel!$V$3:$V$152,Hulptabel!$B$3:$B$152,Vlootplan!$AU12,Hulptabel!$D$3:$D$152,Vlootplan!BC$4)</f>
        <v>0</v>
      </c>
      <c r="CA12" s="243">
        <f>SUMIFS(Hulptabel!$V$3:$V$152,Hulptabel!$B$3:$B$152,Vlootplan!$AU12,Hulptabel!$D$3:$D$152,Vlootplan!BD$4)</f>
        <v>0</v>
      </c>
      <c r="CB12" s="243">
        <f>SUMIFS(Hulptabel!$V$3:$V$152,Hulptabel!$B$3:$B$152,Vlootplan!$AU12,Hulptabel!$D$3:$D$152,Vlootplan!BE$4)</f>
        <v>212</v>
      </c>
      <c r="CC12" s="245">
        <f>SUMIFS(Hulptabel!$V$3:$V$152,Hulptabel!$B$3:$B$152,Vlootplan!$AU12,Hulptabel!$D$3:$D$152,Vlootplan!BF$4)</f>
        <v>584</v>
      </c>
      <c r="CD12" s="533"/>
      <c r="CE12" s="536"/>
      <c r="CF12" s="536"/>
      <c r="CG12" s="536"/>
      <c r="CH12" s="521"/>
      <c r="CI12" s="539"/>
      <c r="CJ12" s="521"/>
      <c r="CK12" s="524"/>
      <c r="CL12" s="527"/>
      <c r="CM12" s="530"/>
    </row>
    <row r="13" spans="1:91" x14ac:dyDescent="0.25">
      <c r="A13" s="228" t="s">
        <v>252</v>
      </c>
      <c r="B13" s="241" t="str">
        <f t="shared" si="50"/>
        <v>Middel</v>
      </c>
      <c r="C13" s="241" t="str">
        <f t="shared" si="50"/>
        <v>66-75</v>
      </c>
      <c r="D13" s="242">
        <f>COUNTIFS(Hulptabel!$B$3:$B$152,Vlootplan!$A13,Hulptabel!$D$3:$D$152,Vlootplan!D$4)</f>
        <v>2</v>
      </c>
      <c r="E13" s="243">
        <f>COUNTIFS(Hulptabel!$B$3:$B$152,Vlootplan!$A13,Hulptabel!$D$3:$D$152,Vlootplan!E$4)</f>
        <v>2</v>
      </c>
      <c r="F13" s="243">
        <f>COUNTIFS(Hulptabel!$B$3:$B$152,Vlootplan!$A13,Hulptabel!$D$3:$D$152,Vlootplan!F$4)</f>
        <v>0</v>
      </c>
      <c r="G13" s="244">
        <f>COUNTIFS(Hulptabel!$B$3:$B$152,Vlootplan!$A13,Hulptabel!$D$3:$D$152,Vlootplan!G$4)</f>
        <v>0</v>
      </c>
      <c r="H13" s="242">
        <f>COUNTIFS(Hulptabel!$B$3:$B$152,Vlootplan!$A13,Hulptabel!$D$3:$D$152,Vlootplan!H$4)</f>
        <v>0</v>
      </c>
      <c r="I13" s="243">
        <f>COUNTIFS(Hulptabel!$B$3:$B$152,Vlootplan!$A13,Hulptabel!$D$3:$D$152,Vlootplan!I$4)</f>
        <v>0</v>
      </c>
      <c r="J13" s="243">
        <f>COUNTIFS(Hulptabel!$B$3:$B$152,Vlootplan!$A13,Hulptabel!$D$3:$D$152,Vlootplan!J$4)</f>
        <v>0</v>
      </c>
      <c r="K13" s="243">
        <f>COUNTIFS(Hulptabel!$B$3:$B$152,Vlootplan!$A13,Hulptabel!$D$3:$D$152,Vlootplan!K$4)</f>
        <v>0</v>
      </c>
      <c r="L13" s="245">
        <f>COUNTIFS(Hulptabel!$B$3:$B$152,Vlootplan!$A13,Hulptabel!$D$3:$D$152,Vlootplan!L$4)</f>
        <v>0</v>
      </c>
      <c r="M13" s="533"/>
      <c r="N13" s="536"/>
      <c r="O13" s="536"/>
      <c r="P13" s="536"/>
      <c r="Q13" s="521"/>
      <c r="R13" s="539"/>
      <c r="S13" s="521"/>
      <c r="T13" s="524"/>
      <c r="U13" s="527"/>
      <c r="V13" s="530"/>
      <c r="W13" s="236"/>
      <c r="X13" s="228" t="s">
        <v>252</v>
      </c>
      <c r="Y13" s="241" t="str">
        <f t="shared" si="51"/>
        <v>Middel</v>
      </c>
      <c r="Z13" s="241" t="str">
        <f t="shared" si="51"/>
        <v>66-75</v>
      </c>
      <c r="AA13" s="359">
        <f>IF(Deler=0,0,(SUMIFS(Hulptabel!$G$3:$G$152,Hulptabel!$B$3:$B$152,Vlootplan!$X13,Hulptabel!$D$3:$D$152,Vlootplan!AA$4)/Deler)-D13)</f>
        <v>0.21115537848605559</v>
      </c>
      <c r="AB13" s="360">
        <f>IF(Deler=0,0,(SUMIFS(Hulptabel!$G$3:$G$152,Hulptabel!$B$3:$B$152,Vlootplan!$X13,Hulptabel!$D$3:$D$152,Vlootplan!AB$4)/Deler)-E13)</f>
        <v>1.8486055776892427</v>
      </c>
      <c r="AC13" s="360">
        <f>IF(Deler=0,0,(SUMIFS(Hulptabel!$G$3:$G$152,Hulptabel!$B$3:$B$152,Vlootplan!$X13,Hulptabel!$D$3:$D$152,Vlootplan!AC$4)/Deler)-F13)</f>
        <v>0</v>
      </c>
      <c r="AD13" s="361">
        <f>IF(Deler=0,0,(SUMIFS(Hulptabel!$G$3:$G$152,Hulptabel!$B$3:$B$152,Vlootplan!$X13,Hulptabel!$D$3:$D$152,Vlootplan!AD$4)/Deler)-G13)</f>
        <v>0</v>
      </c>
      <c r="AE13" s="359">
        <f>IF(Deler=0,0,(SUMIFS(Hulptabel!$G$3:$G$152,Hulptabel!$B$3:$B$152,Vlootplan!$X13,Hulptabel!$D$3:$D$152,Vlootplan!AE$4)/Deler)-H13)</f>
        <v>0</v>
      </c>
      <c r="AF13" s="360">
        <f>IF(Deler=0,0,(SUMIFS(Hulptabel!$G$3:$G$152,Hulptabel!$B$3:$B$152,Vlootplan!$X13,Hulptabel!$D$3:$D$152,Vlootplan!AF$4)/Deler)-I13)</f>
        <v>0</v>
      </c>
      <c r="AG13" s="360">
        <f>IF(Deler=0,0,(SUMIFS(Hulptabel!$G$3:$G$152,Hulptabel!$B$3:$B$152,Vlootplan!$X13,Hulptabel!$D$3:$D$152,Vlootplan!AG$4)/Deler)-J13)</f>
        <v>0</v>
      </c>
      <c r="AH13" s="360">
        <f>IF(Deler=0,0,(SUMIFS(Hulptabel!$G$3:$G$152,Hulptabel!$B$3:$B$152,Vlootplan!$X13,Hulptabel!$D$3:$D$152,Vlootplan!AH$4)/Deler)-K13)</f>
        <v>0</v>
      </c>
      <c r="AI13" s="362">
        <f>IF(Deler=0,0,(SUMIFS(Hulptabel!$G$3:$G$152,Hulptabel!$B$3:$B$152,Vlootplan!$X13,Hulptabel!$D$3:$D$152,Vlootplan!AI$4)/Deler)-L13)</f>
        <v>0</v>
      </c>
      <c r="AJ13" s="578">
        <v>0</v>
      </c>
      <c r="AK13" s="587">
        <v>0</v>
      </c>
      <c r="AL13" s="587">
        <v>0</v>
      </c>
      <c r="AM13" s="590">
        <v>0</v>
      </c>
      <c r="AN13" s="578">
        <v>0</v>
      </c>
      <c r="AO13" s="590">
        <v>0</v>
      </c>
      <c r="AP13" s="578">
        <v>0</v>
      </c>
      <c r="AQ13" s="593">
        <v>0</v>
      </c>
      <c r="AR13" s="581">
        <v>0</v>
      </c>
      <c r="AS13" s="584">
        <v>0</v>
      </c>
      <c r="AU13" s="228" t="s">
        <v>252</v>
      </c>
      <c r="AV13" s="241" t="str">
        <f t="shared" si="52"/>
        <v>Middel</v>
      </c>
      <c r="AW13" s="241" t="str">
        <f t="shared" si="52"/>
        <v>66-75</v>
      </c>
      <c r="AX13" s="246">
        <f t="shared" si="48"/>
        <v>0.48279952550415184</v>
      </c>
      <c r="AY13" s="247">
        <f t="shared" si="48"/>
        <v>1.6806642941874259</v>
      </c>
      <c r="AZ13" s="247">
        <f t="shared" si="48"/>
        <v>0</v>
      </c>
      <c r="BA13" s="248">
        <f t="shared" si="48"/>
        <v>0</v>
      </c>
      <c r="BB13" s="246">
        <f t="shared" si="48"/>
        <v>0</v>
      </c>
      <c r="BC13" s="247">
        <f t="shared" si="48"/>
        <v>0</v>
      </c>
      <c r="BD13" s="247">
        <f t="shared" si="48"/>
        <v>0</v>
      </c>
      <c r="BE13" s="247">
        <f t="shared" si="48"/>
        <v>0</v>
      </c>
      <c r="BF13" s="249">
        <f t="shared" si="48"/>
        <v>0</v>
      </c>
      <c r="BG13" s="542">
        <f t="shared" si="48"/>
        <v>0</v>
      </c>
      <c r="BH13" s="563">
        <f t="shared" si="48"/>
        <v>0</v>
      </c>
      <c r="BI13" s="563">
        <f t="shared" si="48"/>
        <v>0</v>
      </c>
      <c r="BJ13" s="545">
        <f t="shared" si="48"/>
        <v>0</v>
      </c>
      <c r="BK13" s="542">
        <f t="shared" si="48"/>
        <v>0</v>
      </c>
      <c r="BL13" s="545">
        <f t="shared" si="48"/>
        <v>0</v>
      </c>
      <c r="BM13" s="542">
        <f t="shared" si="48"/>
        <v>0</v>
      </c>
      <c r="BN13" s="548">
        <f t="shared" si="49"/>
        <v>0</v>
      </c>
      <c r="BO13" s="551">
        <f t="shared" si="49"/>
        <v>0</v>
      </c>
      <c r="BP13" s="554">
        <f t="shared" si="49"/>
        <v>0</v>
      </c>
      <c r="BQ13" s="236"/>
      <c r="BR13" s="228" t="s">
        <v>252</v>
      </c>
      <c r="BS13" s="241" t="str">
        <f t="shared" si="53"/>
        <v>Middel</v>
      </c>
      <c r="BT13" s="241" t="str">
        <f t="shared" si="53"/>
        <v>66-75</v>
      </c>
      <c r="BU13" s="242">
        <f>SUMIFS(Hulptabel!$V$3:$V$152,Hulptabel!$B$3:$B$152,Vlootplan!$AU13,Hulptabel!$D$3:$D$152,Vlootplan!AX$4)</f>
        <v>185</v>
      </c>
      <c r="BV13" s="243">
        <f>SUMIFS(Hulptabel!$V$3:$V$152,Hulptabel!$B$3:$B$152,Vlootplan!$AU13,Hulptabel!$D$3:$D$152,Vlootplan!AY$4)</f>
        <v>644</v>
      </c>
      <c r="BW13" s="243">
        <f>SUMIFS(Hulptabel!$V$3:$V$152,Hulptabel!$B$3:$B$152,Vlootplan!$AU13,Hulptabel!$D$3:$D$152,Vlootplan!AZ$4)</f>
        <v>0</v>
      </c>
      <c r="BX13" s="244">
        <f>SUMIFS(Hulptabel!$V$3:$V$152,Hulptabel!$B$3:$B$152,Vlootplan!$AU13,Hulptabel!$D$3:$D$152,Vlootplan!BA$4)</f>
        <v>0</v>
      </c>
      <c r="BY13" s="242">
        <f>SUMIFS(Hulptabel!$V$3:$V$152,Hulptabel!$B$3:$B$152,Vlootplan!$AU13,Hulptabel!$D$3:$D$152,Vlootplan!BB$4)</f>
        <v>0</v>
      </c>
      <c r="BZ13" s="243">
        <f>SUMIFS(Hulptabel!$V$3:$V$152,Hulptabel!$B$3:$B$152,Vlootplan!$AU13,Hulptabel!$D$3:$D$152,Vlootplan!BC$4)</f>
        <v>0</v>
      </c>
      <c r="CA13" s="243">
        <f>SUMIFS(Hulptabel!$V$3:$V$152,Hulptabel!$B$3:$B$152,Vlootplan!$AU13,Hulptabel!$D$3:$D$152,Vlootplan!BD$4)</f>
        <v>0</v>
      </c>
      <c r="CB13" s="243">
        <f>SUMIFS(Hulptabel!$V$3:$V$152,Hulptabel!$B$3:$B$152,Vlootplan!$AU13,Hulptabel!$D$3:$D$152,Vlootplan!BE$4)</f>
        <v>0</v>
      </c>
      <c r="CC13" s="245">
        <f>SUMIFS(Hulptabel!$V$3:$V$152,Hulptabel!$B$3:$B$152,Vlootplan!$AU13,Hulptabel!$D$3:$D$152,Vlootplan!BF$4)</f>
        <v>0</v>
      </c>
      <c r="CD13" s="533"/>
      <c r="CE13" s="536"/>
      <c r="CF13" s="536"/>
      <c r="CG13" s="536"/>
      <c r="CH13" s="521"/>
      <c r="CI13" s="539"/>
      <c r="CJ13" s="521"/>
      <c r="CK13" s="524"/>
      <c r="CL13" s="527"/>
      <c r="CM13" s="530"/>
    </row>
    <row r="14" spans="1:91" x14ac:dyDescent="0.25">
      <c r="A14" s="228" t="s">
        <v>362</v>
      </c>
      <c r="B14" s="241" t="str">
        <f t="shared" si="50"/>
        <v>Licht</v>
      </c>
      <c r="C14" s="241" t="str">
        <f t="shared" si="50"/>
        <v>55-65</v>
      </c>
      <c r="D14" s="250">
        <f>COUNTIFS(Hulptabel!$B$3:$B$152,Vlootplan!$A14,Hulptabel!$D$3:$D$152,Vlootplan!D$4)</f>
        <v>0</v>
      </c>
      <c r="E14" s="251">
        <f>COUNTIFS(Hulptabel!$B$3:$B$152,Vlootplan!$A14,Hulptabel!$D$3:$D$152,Vlootplan!E$4)</f>
        <v>0</v>
      </c>
      <c r="F14" s="251">
        <f>COUNTIFS(Hulptabel!$B$3:$B$152,Vlootplan!$A14,Hulptabel!$D$3:$D$152,Vlootplan!F$4)</f>
        <v>0</v>
      </c>
      <c r="G14" s="252">
        <f>COUNTIFS(Hulptabel!$B$3:$B$152,Vlootplan!$A14,Hulptabel!$D$3:$D$152,Vlootplan!G$4)</f>
        <v>0</v>
      </c>
      <c r="H14" s="250">
        <f>COUNTIFS(Hulptabel!$B$3:$B$152,Vlootplan!$A14,Hulptabel!$D$3:$D$152,Vlootplan!H$4)</f>
        <v>0</v>
      </c>
      <c r="I14" s="251">
        <f>COUNTIFS(Hulptabel!$B$3:$B$152,Vlootplan!$A14,Hulptabel!$D$3:$D$152,Vlootplan!I$4)</f>
        <v>0</v>
      </c>
      <c r="J14" s="251">
        <f>COUNTIFS(Hulptabel!$B$3:$B$152,Vlootplan!$A14,Hulptabel!$D$3:$D$152,Vlootplan!J$4)</f>
        <v>0</v>
      </c>
      <c r="K14" s="251">
        <f>COUNTIFS(Hulptabel!$B$3:$B$152,Vlootplan!$A14,Hulptabel!$D$3:$D$152,Vlootplan!K$4)</f>
        <v>0</v>
      </c>
      <c r="L14" s="253">
        <f>COUNTIFS(Hulptabel!$B$3:$B$152,Vlootplan!$A14,Hulptabel!$D$3:$D$152,Vlootplan!L$4)</f>
        <v>0</v>
      </c>
      <c r="M14" s="534"/>
      <c r="N14" s="537"/>
      <c r="O14" s="537"/>
      <c r="P14" s="537"/>
      <c r="Q14" s="522"/>
      <c r="R14" s="540"/>
      <c r="S14" s="522"/>
      <c r="T14" s="525"/>
      <c r="U14" s="528"/>
      <c r="V14" s="531"/>
      <c r="W14" s="236"/>
      <c r="X14" s="228" t="s">
        <v>362</v>
      </c>
      <c r="Y14" s="241" t="str">
        <f t="shared" si="51"/>
        <v>Licht</v>
      </c>
      <c r="Z14" s="241" t="str">
        <f t="shared" si="51"/>
        <v>55-65</v>
      </c>
      <c r="AA14" s="363">
        <f>IF(Deler=0,0,(SUMIFS(Hulptabel!$G$3:$G$152,Hulptabel!$B$3:$B$152,Vlootplan!$X14,Hulptabel!$D$3:$D$152,Vlootplan!AA$4)/Deler)-D14)</f>
        <v>0</v>
      </c>
      <c r="AB14" s="364">
        <f>IF(Deler=0,0,(SUMIFS(Hulptabel!$G$3:$G$152,Hulptabel!$B$3:$B$152,Vlootplan!$X14,Hulptabel!$D$3:$D$152,Vlootplan!AB$4)/Deler)-E14)</f>
        <v>0</v>
      </c>
      <c r="AC14" s="364">
        <f>IF(Deler=0,0,(SUMIFS(Hulptabel!$G$3:$G$152,Hulptabel!$B$3:$B$152,Vlootplan!$X14,Hulptabel!$D$3:$D$152,Vlootplan!AC$4)/Deler)-F14)</f>
        <v>0</v>
      </c>
      <c r="AD14" s="365">
        <f>IF(Deler=0,0,(SUMIFS(Hulptabel!$G$3:$G$152,Hulptabel!$B$3:$B$152,Vlootplan!$X14,Hulptabel!$D$3:$D$152,Vlootplan!AD$4)/Deler)-G14)</f>
        <v>0</v>
      </c>
      <c r="AE14" s="363">
        <f>IF(Deler=0,0,(SUMIFS(Hulptabel!$G$3:$G$152,Hulptabel!$B$3:$B$152,Vlootplan!$X14,Hulptabel!$D$3:$D$152,Vlootplan!AE$4)/Deler)-H14)</f>
        <v>0</v>
      </c>
      <c r="AF14" s="364">
        <f>IF(Deler=0,0,(SUMIFS(Hulptabel!$G$3:$G$152,Hulptabel!$B$3:$B$152,Vlootplan!$X14,Hulptabel!$D$3:$D$152,Vlootplan!AF$4)/Deler)-I14)</f>
        <v>0</v>
      </c>
      <c r="AG14" s="364">
        <f>IF(Deler=0,0,(SUMIFS(Hulptabel!$G$3:$G$152,Hulptabel!$B$3:$B$152,Vlootplan!$X14,Hulptabel!$D$3:$D$152,Vlootplan!AG$4)/Deler)-J14)</f>
        <v>0</v>
      </c>
      <c r="AH14" s="364">
        <f>IF(Deler=0,0,(SUMIFS(Hulptabel!$G$3:$G$152,Hulptabel!$B$3:$B$152,Vlootplan!$X14,Hulptabel!$D$3:$D$152,Vlootplan!AH$4)/Deler)-K14)</f>
        <v>0</v>
      </c>
      <c r="AI14" s="366">
        <f>IF(Deler=0,0,(SUMIFS(Hulptabel!$G$3:$G$152,Hulptabel!$B$3:$B$152,Vlootplan!$X14,Hulptabel!$D$3:$D$152,Vlootplan!AI$4)/Deler)-L14)</f>
        <v>0</v>
      </c>
      <c r="AJ14" s="579">
        <v>0</v>
      </c>
      <c r="AK14" s="588">
        <v>0</v>
      </c>
      <c r="AL14" s="588">
        <v>0</v>
      </c>
      <c r="AM14" s="591">
        <v>0</v>
      </c>
      <c r="AN14" s="579">
        <v>0</v>
      </c>
      <c r="AO14" s="591">
        <v>0</v>
      </c>
      <c r="AP14" s="579">
        <v>0</v>
      </c>
      <c r="AQ14" s="594">
        <v>0</v>
      </c>
      <c r="AR14" s="582">
        <v>0</v>
      </c>
      <c r="AS14" s="585">
        <v>0</v>
      </c>
      <c r="AU14" s="228" t="s">
        <v>362</v>
      </c>
      <c r="AV14" s="241" t="str">
        <f t="shared" si="52"/>
        <v>Licht</v>
      </c>
      <c r="AW14" s="241" t="str">
        <f t="shared" si="52"/>
        <v>55-65</v>
      </c>
      <c r="AX14" s="254">
        <f t="shared" si="48"/>
        <v>0</v>
      </c>
      <c r="AY14" s="255">
        <f t="shared" si="48"/>
        <v>0</v>
      </c>
      <c r="AZ14" s="255">
        <f t="shared" si="48"/>
        <v>0</v>
      </c>
      <c r="BA14" s="256">
        <f t="shared" si="48"/>
        <v>0</v>
      </c>
      <c r="BB14" s="254">
        <f t="shared" si="48"/>
        <v>0</v>
      </c>
      <c r="BC14" s="255">
        <f t="shared" si="48"/>
        <v>0</v>
      </c>
      <c r="BD14" s="255">
        <f t="shared" si="48"/>
        <v>0</v>
      </c>
      <c r="BE14" s="255">
        <f t="shared" si="48"/>
        <v>0</v>
      </c>
      <c r="BF14" s="257">
        <f t="shared" si="48"/>
        <v>0</v>
      </c>
      <c r="BG14" s="543">
        <f t="shared" si="48"/>
        <v>0</v>
      </c>
      <c r="BH14" s="564">
        <f t="shared" si="48"/>
        <v>0</v>
      </c>
      <c r="BI14" s="564">
        <f t="shared" si="48"/>
        <v>0</v>
      </c>
      <c r="BJ14" s="546">
        <f t="shared" si="48"/>
        <v>0</v>
      </c>
      <c r="BK14" s="543">
        <f t="shared" si="48"/>
        <v>0</v>
      </c>
      <c r="BL14" s="546">
        <f t="shared" si="48"/>
        <v>0</v>
      </c>
      <c r="BM14" s="543">
        <f t="shared" si="48"/>
        <v>0</v>
      </c>
      <c r="BN14" s="549">
        <f t="shared" si="49"/>
        <v>0</v>
      </c>
      <c r="BO14" s="552">
        <f t="shared" si="49"/>
        <v>0</v>
      </c>
      <c r="BP14" s="555">
        <f t="shared" si="49"/>
        <v>0</v>
      </c>
      <c r="BQ14" s="236"/>
      <c r="BR14" s="228" t="s">
        <v>362</v>
      </c>
      <c r="BS14" s="241" t="str">
        <f t="shared" si="53"/>
        <v>Licht</v>
      </c>
      <c r="BT14" s="241" t="str">
        <f t="shared" si="53"/>
        <v>55-65</v>
      </c>
      <c r="BU14" s="250">
        <f>SUMIFS(Hulptabel!$V$3:$V$152,Hulptabel!$B$3:$B$152,Vlootplan!$AU14,Hulptabel!$D$3:$D$152,Vlootplan!AX$4)</f>
        <v>0</v>
      </c>
      <c r="BV14" s="251">
        <f>SUMIFS(Hulptabel!$V$3:$V$152,Hulptabel!$B$3:$B$152,Vlootplan!$AU14,Hulptabel!$D$3:$D$152,Vlootplan!AY$4)</f>
        <v>0</v>
      </c>
      <c r="BW14" s="251">
        <f>SUMIFS(Hulptabel!$V$3:$V$152,Hulptabel!$B$3:$B$152,Vlootplan!$AU14,Hulptabel!$D$3:$D$152,Vlootplan!AZ$4)</f>
        <v>0</v>
      </c>
      <c r="BX14" s="252">
        <f>SUMIFS(Hulptabel!$V$3:$V$152,Hulptabel!$B$3:$B$152,Vlootplan!$AU14,Hulptabel!$D$3:$D$152,Vlootplan!BA$4)</f>
        <v>0</v>
      </c>
      <c r="BY14" s="250">
        <f>SUMIFS(Hulptabel!$V$3:$V$152,Hulptabel!$B$3:$B$152,Vlootplan!$AU14,Hulptabel!$D$3:$D$152,Vlootplan!BB$4)</f>
        <v>0</v>
      </c>
      <c r="BZ14" s="251">
        <f>SUMIFS(Hulptabel!$V$3:$V$152,Hulptabel!$B$3:$B$152,Vlootplan!$AU14,Hulptabel!$D$3:$D$152,Vlootplan!BC$4)</f>
        <v>0</v>
      </c>
      <c r="CA14" s="251">
        <f>SUMIFS(Hulptabel!$V$3:$V$152,Hulptabel!$B$3:$B$152,Vlootplan!$AU14,Hulptabel!$D$3:$D$152,Vlootplan!BD$4)</f>
        <v>0</v>
      </c>
      <c r="CB14" s="251">
        <f>SUMIFS(Hulptabel!$V$3:$V$152,Hulptabel!$B$3:$B$152,Vlootplan!$AU14,Hulptabel!$D$3:$D$152,Vlootplan!BE$4)</f>
        <v>0</v>
      </c>
      <c r="CC14" s="253">
        <f>SUMIFS(Hulptabel!$V$3:$V$152,Hulptabel!$B$3:$B$152,Vlootplan!$AU14,Hulptabel!$D$3:$D$152,Vlootplan!BF$4)</f>
        <v>0</v>
      </c>
      <c r="CD14" s="534"/>
      <c r="CE14" s="537"/>
      <c r="CF14" s="537"/>
      <c r="CG14" s="537"/>
      <c r="CH14" s="522"/>
      <c r="CI14" s="540"/>
      <c r="CJ14" s="522"/>
      <c r="CK14" s="525"/>
      <c r="CL14" s="528"/>
      <c r="CM14" s="531"/>
    </row>
    <row r="15" spans="1:91" s="258" customFormat="1" ht="24" customHeight="1" x14ac:dyDescent="0.25">
      <c r="C15" s="260">
        <f>SUM(D15:V15)</f>
        <v>22</v>
      </c>
      <c r="D15" s="261">
        <f>SUM(D11:D14)</f>
        <v>8</v>
      </c>
      <c r="E15" s="261">
        <f t="shared" ref="E15:V15" si="54">SUM(E11:E14)</f>
        <v>5</v>
      </c>
      <c r="F15" s="261">
        <f t="shared" si="54"/>
        <v>2</v>
      </c>
      <c r="G15" s="261">
        <f t="shared" si="54"/>
        <v>0</v>
      </c>
      <c r="H15" s="261">
        <f t="shared" si="54"/>
        <v>1</v>
      </c>
      <c r="I15" s="261">
        <f t="shared" si="54"/>
        <v>0</v>
      </c>
      <c r="J15" s="261">
        <f t="shared" si="54"/>
        <v>0</v>
      </c>
      <c r="K15" s="261">
        <f t="shared" si="54"/>
        <v>1</v>
      </c>
      <c r="L15" s="261">
        <f t="shared" si="54"/>
        <v>1</v>
      </c>
      <c r="M15" s="261">
        <f t="shared" si="54"/>
        <v>0</v>
      </c>
      <c r="N15" s="261">
        <f t="shared" si="54"/>
        <v>0</v>
      </c>
      <c r="O15" s="261">
        <f t="shared" si="54"/>
        <v>1</v>
      </c>
      <c r="P15" s="261">
        <f t="shared" si="54"/>
        <v>1</v>
      </c>
      <c r="Q15" s="261">
        <f t="shared" si="54"/>
        <v>0</v>
      </c>
      <c r="R15" s="261">
        <f t="shared" si="54"/>
        <v>0</v>
      </c>
      <c r="S15" s="261">
        <f t="shared" si="54"/>
        <v>0</v>
      </c>
      <c r="T15" s="261">
        <f t="shared" si="54"/>
        <v>2</v>
      </c>
      <c r="U15" s="261">
        <f t="shared" si="54"/>
        <v>0</v>
      </c>
      <c r="V15" s="261">
        <f t="shared" si="54"/>
        <v>0</v>
      </c>
      <c r="Z15" s="262"/>
      <c r="AA15" s="367">
        <f t="shared" ref="AA15:AI15" si="55">SUM(AA11:AA14)</f>
        <v>3.8446215139442228</v>
      </c>
      <c r="AB15" s="367">
        <f t="shared" si="55"/>
        <v>2.9960159362549796</v>
      </c>
      <c r="AC15" s="367">
        <f t="shared" si="55"/>
        <v>3.2709163346613543</v>
      </c>
      <c r="AD15" s="367">
        <f t="shared" si="55"/>
        <v>0</v>
      </c>
      <c r="AE15" s="367">
        <f t="shared" si="55"/>
        <v>-0.15139442231075706</v>
      </c>
      <c r="AF15" s="367">
        <f t="shared" si="55"/>
        <v>0</v>
      </c>
      <c r="AG15" s="367">
        <f t="shared" si="55"/>
        <v>0</v>
      </c>
      <c r="AH15" s="367">
        <f t="shared" si="55"/>
        <v>-0.36653386454183268</v>
      </c>
      <c r="AI15" s="367">
        <f t="shared" si="55"/>
        <v>-0.12749003984063745</v>
      </c>
      <c r="AJ15" s="367">
        <f>AJ11</f>
        <v>0</v>
      </c>
      <c r="AK15" s="367">
        <f>AK11</f>
        <v>0</v>
      </c>
      <c r="AL15" s="367">
        <f t="shared" ref="AL15:AS15" si="56">AL11</f>
        <v>0.7689243027888446</v>
      </c>
      <c r="AM15" s="367">
        <f t="shared" si="56"/>
        <v>1.3904382470119518</v>
      </c>
      <c r="AN15" s="367">
        <f t="shared" si="56"/>
        <v>0</v>
      </c>
      <c r="AO15" s="367">
        <f t="shared" si="56"/>
        <v>0</v>
      </c>
      <c r="AP15" s="367">
        <f t="shared" si="56"/>
        <v>0</v>
      </c>
      <c r="AQ15" s="367">
        <f t="shared" si="56"/>
        <v>0.41434262948207179</v>
      </c>
      <c r="AR15" s="367">
        <f t="shared" si="56"/>
        <v>0</v>
      </c>
      <c r="AS15" s="367">
        <f t="shared" si="56"/>
        <v>0</v>
      </c>
      <c r="AW15" s="372">
        <f>IF(OR(C15=0,$AW$29=0),0,(BT15/C15)/$AW$29)</f>
        <v>1.5494661921708186</v>
      </c>
      <c r="AX15" s="372">
        <f t="shared" si="48"/>
        <v>0.64655990510083039</v>
      </c>
      <c r="AY15" s="372">
        <f t="shared" si="48"/>
        <v>1.3967259786476869</v>
      </c>
      <c r="AZ15" s="372">
        <f t="shared" si="48"/>
        <v>4.6035587188612102</v>
      </c>
      <c r="BA15" s="372">
        <f t="shared" si="48"/>
        <v>0</v>
      </c>
      <c r="BB15" s="372">
        <f t="shared" si="48"/>
        <v>0.74116251482799522</v>
      </c>
      <c r="BC15" s="372">
        <f t="shared" si="48"/>
        <v>0</v>
      </c>
      <c r="BD15" s="372">
        <f t="shared" si="48"/>
        <v>0</v>
      </c>
      <c r="BE15" s="372">
        <f t="shared" si="48"/>
        <v>1.1065243179122182</v>
      </c>
      <c r="BF15" s="372">
        <f t="shared" si="48"/>
        <v>3.0481613285883746</v>
      </c>
      <c r="BG15" s="372">
        <f t="shared" si="48"/>
        <v>0</v>
      </c>
      <c r="BH15" s="372">
        <f t="shared" si="48"/>
        <v>0</v>
      </c>
      <c r="BI15" s="372">
        <f t="shared" si="48"/>
        <v>1.544958481613286</v>
      </c>
      <c r="BJ15" s="372">
        <f t="shared" si="48"/>
        <v>4.1755634638196915</v>
      </c>
      <c r="BK15" s="372">
        <f t="shared" si="48"/>
        <v>0</v>
      </c>
      <c r="BL15" s="372">
        <f t="shared" si="48"/>
        <v>0</v>
      </c>
      <c r="BM15" s="372">
        <f t="shared" si="48"/>
        <v>0</v>
      </c>
      <c r="BN15" s="372">
        <f t="shared" si="49"/>
        <v>1.0543297746144722</v>
      </c>
      <c r="BO15" s="372">
        <f t="shared" si="49"/>
        <v>0</v>
      </c>
      <c r="BP15" s="372">
        <f t="shared" si="49"/>
        <v>0</v>
      </c>
      <c r="BT15" s="260">
        <f>SUM(BU15:CM15)</f>
        <v>6531</v>
      </c>
      <c r="BU15" s="261">
        <f>SUM(BU11:BU14)</f>
        <v>991</v>
      </c>
      <c r="BV15" s="261">
        <f t="shared" ref="BV15:CM15" si="57">SUM(BV11:BV14)</f>
        <v>1338</v>
      </c>
      <c r="BW15" s="261">
        <f t="shared" si="57"/>
        <v>1764</v>
      </c>
      <c r="BX15" s="261">
        <f t="shared" si="57"/>
        <v>0</v>
      </c>
      <c r="BY15" s="261">
        <f t="shared" si="57"/>
        <v>142</v>
      </c>
      <c r="BZ15" s="261">
        <f t="shared" si="57"/>
        <v>0</v>
      </c>
      <c r="CA15" s="261">
        <f t="shared" si="57"/>
        <v>0</v>
      </c>
      <c r="CB15" s="261">
        <f t="shared" si="57"/>
        <v>212</v>
      </c>
      <c r="CC15" s="261">
        <f t="shared" si="57"/>
        <v>584</v>
      </c>
      <c r="CD15" s="261">
        <f t="shared" si="57"/>
        <v>0</v>
      </c>
      <c r="CE15" s="261">
        <f t="shared" si="57"/>
        <v>0</v>
      </c>
      <c r="CF15" s="261">
        <f t="shared" si="57"/>
        <v>296</v>
      </c>
      <c r="CG15" s="261">
        <f t="shared" si="57"/>
        <v>800</v>
      </c>
      <c r="CH15" s="261">
        <f t="shared" si="57"/>
        <v>0</v>
      </c>
      <c r="CI15" s="261">
        <f t="shared" si="57"/>
        <v>0</v>
      </c>
      <c r="CJ15" s="261">
        <f t="shared" si="57"/>
        <v>0</v>
      </c>
      <c r="CK15" s="261">
        <f t="shared" si="57"/>
        <v>404</v>
      </c>
      <c r="CL15" s="261">
        <f t="shared" si="57"/>
        <v>0</v>
      </c>
      <c r="CM15" s="261">
        <f t="shared" si="57"/>
        <v>0</v>
      </c>
    </row>
    <row r="16" spans="1:91" x14ac:dyDescent="0.25">
      <c r="A16" s="228" t="s">
        <v>202</v>
      </c>
      <c r="C16" s="228" t="s">
        <v>351</v>
      </c>
      <c r="D16" s="229" t="str">
        <f>D10</f>
        <v>1x</v>
      </c>
      <c r="E16" s="229" t="str">
        <f t="shared" ref="E16:V16" si="58">E10</f>
        <v>2x</v>
      </c>
      <c r="F16" s="229" t="str">
        <f t="shared" si="58"/>
        <v>4x+</v>
      </c>
      <c r="G16" s="229" t="str">
        <f t="shared" si="58"/>
        <v>4x</v>
      </c>
      <c r="H16" s="229" t="str">
        <f t="shared" si="58"/>
        <v>2-</v>
      </c>
      <c r="I16" s="229" t="str">
        <f t="shared" si="58"/>
        <v>2+</v>
      </c>
      <c r="J16" s="229" t="str">
        <f t="shared" si="58"/>
        <v>4-</v>
      </c>
      <c r="K16" s="229" t="str">
        <f t="shared" si="58"/>
        <v>4+</v>
      </c>
      <c r="L16" s="229" t="str">
        <f t="shared" si="58"/>
        <v>8+</v>
      </c>
      <c r="M16" s="229" t="str">
        <f t="shared" si="58"/>
        <v>C1x</v>
      </c>
      <c r="N16" s="229" t="str">
        <f t="shared" si="58"/>
        <v>C2x</v>
      </c>
      <c r="O16" s="229" t="str">
        <f t="shared" si="58"/>
        <v>C2x+</v>
      </c>
      <c r="P16" s="229" t="str">
        <f t="shared" si="58"/>
        <v>C4x+</v>
      </c>
      <c r="Q16" s="229" t="str">
        <f t="shared" si="58"/>
        <v>C2+</v>
      </c>
      <c r="R16" s="229" t="str">
        <f t="shared" si="58"/>
        <v>C4+</v>
      </c>
      <c r="S16" s="229" t="str">
        <f t="shared" si="58"/>
        <v>W1x+</v>
      </c>
      <c r="T16" s="229" t="str">
        <f t="shared" si="58"/>
        <v>W2x+</v>
      </c>
      <c r="U16" s="229" t="str">
        <f t="shared" si="58"/>
        <v>W2+</v>
      </c>
      <c r="V16" s="229" t="str">
        <f t="shared" si="58"/>
        <v>W4+</v>
      </c>
      <c r="X16" s="228" t="s">
        <v>202</v>
      </c>
      <c r="Z16" s="228" t="s">
        <v>351</v>
      </c>
      <c r="AA16" s="368" t="str">
        <f>AA10</f>
        <v>1x</v>
      </c>
      <c r="AB16" s="368" t="str">
        <f t="shared" ref="AB16:AS16" si="59">AB10</f>
        <v>2x</v>
      </c>
      <c r="AC16" s="368" t="str">
        <f t="shared" si="59"/>
        <v>4x+</v>
      </c>
      <c r="AD16" s="368" t="str">
        <f t="shared" si="59"/>
        <v>4x</v>
      </c>
      <c r="AE16" s="368" t="str">
        <f t="shared" si="59"/>
        <v>2-</v>
      </c>
      <c r="AF16" s="368" t="str">
        <f t="shared" si="59"/>
        <v>2+</v>
      </c>
      <c r="AG16" s="368" t="str">
        <f t="shared" si="59"/>
        <v>4-</v>
      </c>
      <c r="AH16" s="368" t="str">
        <f t="shared" si="59"/>
        <v>4+</v>
      </c>
      <c r="AI16" s="368" t="str">
        <f t="shared" si="59"/>
        <v>8+</v>
      </c>
      <c r="AJ16" s="368" t="str">
        <f t="shared" si="59"/>
        <v>C1x</v>
      </c>
      <c r="AK16" s="368" t="str">
        <f t="shared" si="59"/>
        <v>C2x</v>
      </c>
      <c r="AL16" s="368" t="str">
        <f t="shared" si="59"/>
        <v>C2x+</v>
      </c>
      <c r="AM16" s="368" t="str">
        <f t="shared" si="59"/>
        <v>C4x+</v>
      </c>
      <c r="AN16" s="368" t="str">
        <f t="shared" si="59"/>
        <v>C2+</v>
      </c>
      <c r="AO16" s="368" t="str">
        <f t="shared" si="59"/>
        <v>C4+</v>
      </c>
      <c r="AP16" s="368" t="str">
        <f t="shared" si="59"/>
        <v>W1x+</v>
      </c>
      <c r="AQ16" s="368" t="str">
        <f t="shared" si="59"/>
        <v>W2x+</v>
      </c>
      <c r="AR16" s="368" t="str">
        <f t="shared" si="59"/>
        <v>W2+</v>
      </c>
      <c r="AS16" s="368" t="str">
        <f t="shared" si="59"/>
        <v>W4+</v>
      </c>
      <c r="AU16" s="228" t="s">
        <v>202</v>
      </c>
      <c r="AW16" s="228" t="s">
        <v>351</v>
      </c>
      <c r="AX16" s="229" t="str">
        <f>AX10</f>
        <v>1x</v>
      </c>
      <c r="AY16" s="229" t="str">
        <f t="shared" ref="AY16:BP16" si="60">AY10</f>
        <v>2x</v>
      </c>
      <c r="AZ16" s="229" t="str">
        <f t="shared" si="60"/>
        <v>4x+</v>
      </c>
      <c r="BA16" s="229" t="str">
        <f t="shared" si="60"/>
        <v>4x</v>
      </c>
      <c r="BB16" s="229" t="str">
        <f t="shared" si="60"/>
        <v>2-</v>
      </c>
      <c r="BC16" s="229" t="str">
        <f t="shared" si="60"/>
        <v>2+</v>
      </c>
      <c r="BD16" s="229" t="str">
        <f t="shared" si="60"/>
        <v>4-</v>
      </c>
      <c r="BE16" s="229" t="str">
        <f t="shared" si="60"/>
        <v>4+</v>
      </c>
      <c r="BF16" s="229" t="str">
        <f t="shared" si="60"/>
        <v>8+</v>
      </c>
      <c r="BG16" s="229" t="str">
        <f t="shared" si="60"/>
        <v>C1x</v>
      </c>
      <c r="BH16" s="229" t="str">
        <f t="shared" si="60"/>
        <v>C2x</v>
      </c>
      <c r="BI16" s="229" t="str">
        <f t="shared" si="60"/>
        <v>C2x+</v>
      </c>
      <c r="BJ16" s="229" t="str">
        <f t="shared" si="60"/>
        <v>C4x+</v>
      </c>
      <c r="BK16" s="229" t="str">
        <f t="shared" si="60"/>
        <v>C2+</v>
      </c>
      <c r="BL16" s="229" t="str">
        <f t="shared" si="60"/>
        <v>C4+</v>
      </c>
      <c r="BM16" s="229" t="str">
        <f t="shared" si="60"/>
        <v>W1x+</v>
      </c>
      <c r="BN16" s="229" t="str">
        <f t="shared" si="60"/>
        <v>W2x+</v>
      </c>
      <c r="BO16" s="229" t="str">
        <f t="shared" si="60"/>
        <v>W2+</v>
      </c>
      <c r="BP16" s="229" t="str">
        <f t="shared" si="60"/>
        <v>W4+</v>
      </c>
      <c r="BR16" s="228" t="s">
        <v>202</v>
      </c>
      <c r="BT16" s="228" t="s">
        <v>351</v>
      </c>
      <c r="BU16" s="229" t="str">
        <f>BU10</f>
        <v>1x</v>
      </c>
      <c r="BV16" s="229" t="str">
        <f t="shared" ref="BV16:CM16" si="61">BV10</f>
        <v>2x</v>
      </c>
      <c r="BW16" s="229" t="str">
        <f t="shared" si="61"/>
        <v>4x+</v>
      </c>
      <c r="BX16" s="229" t="str">
        <f t="shared" si="61"/>
        <v>4x</v>
      </c>
      <c r="BY16" s="229" t="str">
        <f t="shared" si="61"/>
        <v>2-</v>
      </c>
      <c r="BZ16" s="229" t="str">
        <f t="shared" si="61"/>
        <v>2+</v>
      </c>
      <c r="CA16" s="229" t="str">
        <f t="shared" si="61"/>
        <v>4-</v>
      </c>
      <c r="CB16" s="229" t="str">
        <f t="shared" si="61"/>
        <v>4+</v>
      </c>
      <c r="CC16" s="229" t="str">
        <f t="shared" si="61"/>
        <v>8+</v>
      </c>
      <c r="CD16" s="229" t="str">
        <f t="shared" si="61"/>
        <v>C1x</v>
      </c>
      <c r="CE16" s="229" t="str">
        <f t="shared" si="61"/>
        <v>C2x</v>
      </c>
      <c r="CF16" s="229" t="str">
        <f t="shared" si="61"/>
        <v>C2x+</v>
      </c>
      <c r="CG16" s="229" t="str">
        <f t="shared" si="61"/>
        <v>C4x+</v>
      </c>
      <c r="CH16" s="229" t="str">
        <f t="shared" si="61"/>
        <v>C2+</v>
      </c>
      <c r="CI16" s="229" t="str">
        <f t="shared" si="61"/>
        <v>C4+</v>
      </c>
      <c r="CJ16" s="229" t="str">
        <f t="shared" si="61"/>
        <v>W1x+</v>
      </c>
      <c r="CK16" s="229" t="str">
        <f t="shared" si="61"/>
        <v>W2x+</v>
      </c>
      <c r="CL16" s="229" t="str">
        <f t="shared" si="61"/>
        <v>W2+</v>
      </c>
      <c r="CM16" s="229" t="str">
        <f t="shared" si="61"/>
        <v>W4+</v>
      </c>
    </row>
    <row r="17" spans="1:91" x14ac:dyDescent="0.25">
      <c r="A17" s="228" t="s">
        <v>296</v>
      </c>
      <c r="B17" s="241" t="str">
        <f t="shared" ref="B17:C20" si="62">B11</f>
        <v>Zeer zwaar</v>
      </c>
      <c r="C17" s="241" t="str">
        <f t="shared" si="62"/>
        <v>86-95+</v>
      </c>
      <c r="D17" s="232">
        <f>COUNTIFS(Hulptabel!$B$3:$B$152,Vlootplan!$A17,Hulptabel!$D$3:$D$152,Vlootplan!D$4)</f>
        <v>1</v>
      </c>
      <c r="E17" s="233">
        <f>COUNTIFS(Hulptabel!$B$3:$B$152,Vlootplan!$A17,Hulptabel!$D$3:$D$152,Vlootplan!E$4)</f>
        <v>0</v>
      </c>
      <c r="F17" s="233">
        <f>COUNTIFS(Hulptabel!$B$3:$B$152,Vlootplan!$A17,Hulptabel!$D$3:$D$152,Vlootplan!F$4)</f>
        <v>0</v>
      </c>
      <c r="G17" s="234">
        <f>COUNTIFS(Hulptabel!$B$3:$B$152,Vlootplan!$A17,Hulptabel!$D$3:$D$152,Vlootplan!G$4)</f>
        <v>0</v>
      </c>
      <c r="H17" s="232">
        <f>COUNTIFS(Hulptabel!$B$3:$B$152,Vlootplan!$A17,Hulptabel!$D$3:$D$152,Vlootplan!H$4)</f>
        <v>0</v>
      </c>
      <c r="I17" s="233">
        <f>COUNTIFS(Hulptabel!$B$3:$B$152,Vlootplan!$A17,Hulptabel!$D$3:$D$152,Vlootplan!I$4)</f>
        <v>0</v>
      </c>
      <c r="J17" s="233">
        <f>COUNTIFS(Hulptabel!$B$3:$B$152,Vlootplan!$A17,Hulptabel!$D$3:$D$152,Vlootplan!J$4)</f>
        <v>0</v>
      </c>
      <c r="K17" s="233">
        <f>COUNTIFS(Hulptabel!$B$3:$B$152,Vlootplan!$A17,Hulptabel!$D$3:$D$152,Vlootplan!K$4)</f>
        <v>0</v>
      </c>
      <c r="L17" s="235">
        <f>COUNTIFS(Hulptabel!$B$3:$B$152,Vlootplan!$A17,Hulptabel!$D$3:$D$152,Vlootplan!L$4)</f>
        <v>0</v>
      </c>
      <c r="M17" s="532">
        <f>COUNTIFS(Hulptabel!$B$3:$B$152,3,Hulptabel!$D$3:$D$152,Vlootplan!M$4)</f>
        <v>5</v>
      </c>
      <c r="N17" s="535">
        <f>COUNTIFS(Hulptabel!$B$3:$B$152,3,Hulptabel!$D$3:$D$152,Vlootplan!N$4)</f>
        <v>2</v>
      </c>
      <c r="O17" s="535">
        <f>COUNTIFS(Hulptabel!$B$3:$B$152,3,Hulptabel!$D$3:$D$152,Vlootplan!O$4)</f>
        <v>1</v>
      </c>
      <c r="P17" s="535">
        <f>COUNTIFS(Hulptabel!$B$3:$B$152,3,Hulptabel!$D$3:$D$152,Vlootplan!P$4)</f>
        <v>2</v>
      </c>
      <c r="Q17" s="520">
        <f>COUNTIFS(Hulptabel!$B$3:$B$152,3,Hulptabel!$D$3:$D$152,Vlootplan!Q$4)</f>
        <v>1</v>
      </c>
      <c r="R17" s="538">
        <f>COUNTIFS(Hulptabel!$B$3:$B$152,3,Hulptabel!$D$3:$D$152,Vlootplan!R$4)</f>
        <v>2</v>
      </c>
      <c r="S17" s="520">
        <f>COUNTIFS(Hulptabel!$B$3:$B$152,3,Hulptabel!$D$3:$D$152,Vlootplan!S$4)</f>
        <v>1</v>
      </c>
      <c r="T17" s="523">
        <f>COUNTIFS(Hulptabel!$B$3:$B$152,3,Hulptabel!$D$3:$D$152,Vlootplan!T$4)</f>
        <v>3</v>
      </c>
      <c r="U17" s="526">
        <f>COUNTIFS(Hulptabel!$B$3:$B$152,3,Hulptabel!$D$3:$D$152,Vlootplan!U$4)</f>
        <v>0</v>
      </c>
      <c r="V17" s="529">
        <f>COUNTIFS(Hulptabel!$B$3:$B$152,3,Hulptabel!$D$3:$D$152,Vlootplan!V$4)</f>
        <v>0</v>
      </c>
      <c r="W17" s="236"/>
      <c r="X17" s="228" t="s">
        <v>296</v>
      </c>
      <c r="Y17" s="241" t="str">
        <f t="shared" ref="Y17:Z20" si="63">Y11</f>
        <v>Zeer zwaar</v>
      </c>
      <c r="Z17" s="241" t="str">
        <f t="shared" si="63"/>
        <v>86-95+</v>
      </c>
      <c r="AA17" s="355">
        <f>IF(Deler=0,0,(SUMIFS(Hulptabel!$G$3:$G$152,Hulptabel!$B$3:$B$152,Vlootplan!$X17,Hulptabel!$D$3:$D$152,Vlootplan!AA$4)/Deler)-D17)</f>
        <v>-0.53386454183266929</v>
      </c>
      <c r="AB17" s="356">
        <f>IF(Deler=0,0,(SUMIFS(Hulptabel!$G$3:$G$152,Hulptabel!$B$3:$B$152,Vlootplan!$X17,Hulptabel!$D$3:$D$152,Vlootplan!AB$4)/Deler)-E17)</f>
        <v>0</v>
      </c>
      <c r="AC17" s="356">
        <f>IF(Deler=0,0,(SUMIFS(Hulptabel!$G$3:$G$152,Hulptabel!$B$3:$B$152,Vlootplan!$X17,Hulptabel!$D$3:$D$152,Vlootplan!AC$4)/Deler)-F17)</f>
        <v>0</v>
      </c>
      <c r="AD17" s="357">
        <f>IF(Deler=0,0,(SUMIFS(Hulptabel!$G$3:$G$152,Hulptabel!$B$3:$B$152,Vlootplan!$X17,Hulptabel!$D$3:$D$152,Vlootplan!AD$4)/Deler)-G17)</f>
        <v>0</v>
      </c>
      <c r="AE17" s="355">
        <f>IF(Deler=0,0,(SUMIFS(Hulptabel!$G$3:$G$152,Hulptabel!$B$3:$B$152,Vlootplan!$X17,Hulptabel!$D$3:$D$152,Vlootplan!AE$4)/Deler)-H17)</f>
        <v>0</v>
      </c>
      <c r="AF17" s="356">
        <f>IF(Deler=0,0,(SUMIFS(Hulptabel!$G$3:$G$152,Hulptabel!$B$3:$B$152,Vlootplan!$X17,Hulptabel!$D$3:$D$152,Vlootplan!AF$4)/Deler)-I17)</f>
        <v>0</v>
      </c>
      <c r="AG17" s="356">
        <f>IF(Deler=0,0,(SUMIFS(Hulptabel!$G$3:$G$152,Hulptabel!$B$3:$B$152,Vlootplan!$X17,Hulptabel!$D$3:$D$152,Vlootplan!AG$4)/Deler)-J17)</f>
        <v>0</v>
      </c>
      <c r="AH17" s="356">
        <f>IF(Deler=0,0,(SUMIFS(Hulptabel!$G$3:$G$152,Hulptabel!$B$3:$B$152,Vlootplan!$X17,Hulptabel!$D$3:$D$152,Vlootplan!AH$4)/Deler)-K17)</f>
        <v>0</v>
      </c>
      <c r="AI17" s="358">
        <f>IF(Deler=0,0,(SUMIFS(Hulptabel!$G$3:$G$152,Hulptabel!$B$3:$B$152,Vlootplan!$X17,Hulptabel!$D$3:$D$152,Vlootplan!AI$4)/Deler)-L17)</f>
        <v>0</v>
      </c>
      <c r="AJ17" s="577">
        <f>IF(Deler=0,0,(SUMIFS(Hulptabel!$G$3:$G$152,Hulptabel!$B$3:$B$152,3,Hulptabel!$D$3:$D$152,Vlootplan!AJ$4)/Deler)-M17)</f>
        <v>-2.0956175298804784</v>
      </c>
      <c r="AK17" s="586">
        <f>IF(Deler=0,0,(SUMIFS(Hulptabel!$G$3:$G$152,Hulptabel!$B$3:$B$152,3,Hulptabel!$D$3:$D$152,Vlootplan!AK$4)/Deler)-N17)</f>
        <v>0.18725099601593609</v>
      </c>
      <c r="AL17" s="586">
        <f>IF(Deler=0,0,(SUMIFS(Hulptabel!$G$3:$G$152,Hulptabel!$B$3:$B$152,3,Hulptabel!$D$3:$D$152,Vlootplan!AL$4)/Deler)-O17)</f>
        <v>-0.76095617529880477</v>
      </c>
      <c r="AM17" s="589">
        <f>IF(Deler=0,0,(SUMIFS(Hulptabel!$G$3:$G$152,Hulptabel!$B$3:$B$152,3,Hulptabel!$D$3:$D$152,Vlootplan!AM$4)/Deler)-P17)</f>
        <v>1.645418326693227</v>
      </c>
      <c r="AN17" s="577">
        <f>IF(Deler=0,0,(SUMIFS(Hulptabel!$G$3:$G$152,Hulptabel!$B$3:$B$152,3,Hulptabel!$D$3:$D$152,Vlootplan!AN$4)/Deler)-Q17)</f>
        <v>8.7649402390438169E-2</v>
      </c>
      <c r="AO17" s="589">
        <f>IF(Deler=0,0,(SUMIFS(Hulptabel!$G$3:$G$152,Hulptabel!$B$3:$B$152,3,Hulptabel!$D$3:$D$152,Vlootplan!AO$4)/Deler)-R17)</f>
        <v>-1.2231075697211156</v>
      </c>
      <c r="AP17" s="577">
        <f>IF(Deler=0,0,(SUMIFS(Hulptabel!$G$3:$G$152,Hulptabel!$B$3:$B$152,3,Hulptabel!$D$3:$D$152,Vlootplan!AP$4)/Deler)-S17)</f>
        <v>-0.21115537848605581</v>
      </c>
      <c r="AQ17" s="592">
        <f>IF(Deler=0,0,(SUMIFS(Hulptabel!$G$3:$G$152,Hulptabel!$B$3:$B$152,3,Hulptabel!$D$3:$D$152,Vlootplan!AQ$4)/Deler)-T17)</f>
        <v>-0.87250996015936266</v>
      </c>
      <c r="AR17" s="580">
        <f>IF(Deler=0,0,(SUMIFS(Hulptabel!$G$3:$G$152,Hulptabel!$B$3:$B$152,3,Hulptabel!$D$3:$D$152,Vlootplan!AR$4)/Deler)-U17)</f>
        <v>0</v>
      </c>
      <c r="AS17" s="583">
        <f>IF(Deler=0,0,(SUMIFS(Hulptabel!$G$3:$G$152,Hulptabel!$B$3:$B$152,3,Hulptabel!$D$3:$D$152,Vlootplan!AS$4)/Deler)-V17)</f>
        <v>0</v>
      </c>
      <c r="AU17" s="228" t="s">
        <v>296</v>
      </c>
      <c r="AV17" s="241" t="str">
        <f t="shared" ref="AV17:AW20" si="64">AV11</f>
        <v>Zeer zwaar</v>
      </c>
      <c r="AW17" s="241" t="str">
        <f t="shared" si="64"/>
        <v>86-95+</v>
      </c>
      <c r="AX17" s="237">
        <f t="shared" ref="AX17:BM21" si="65">IF(OR(D17=0,$AW$29=0),0,(BU17/D17)/$AW$29)</f>
        <v>0.20355871886120996</v>
      </c>
      <c r="AY17" s="238">
        <f t="shared" si="65"/>
        <v>0</v>
      </c>
      <c r="AZ17" s="238">
        <f t="shared" si="65"/>
        <v>0</v>
      </c>
      <c r="BA17" s="239">
        <f t="shared" si="65"/>
        <v>0</v>
      </c>
      <c r="BB17" s="237">
        <f t="shared" si="65"/>
        <v>0</v>
      </c>
      <c r="BC17" s="238">
        <f t="shared" si="65"/>
        <v>0</v>
      </c>
      <c r="BD17" s="238">
        <f t="shared" si="65"/>
        <v>0</v>
      </c>
      <c r="BE17" s="238">
        <f t="shared" si="65"/>
        <v>0</v>
      </c>
      <c r="BF17" s="240">
        <f t="shared" si="65"/>
        <v>0</v>
      </c>
      <c r="BG17" s="541">
        <f t="shared" si="65"/>
        <v>0.25366548042704629</v>
      </c>
      <c r="BH17" s="562">
        <f t="shared" si="65"/>
        <v>0.95516014234875446</v>
      </c>
      <c r="BI17" s="562">
        <f t="shared" si="65"/>
        <v>0.20877817319098457</v>
      </c>
      <c r="BJ17" s="544">
        <f t="shared" si="65"/>
        <v>3.1838671411625148</v>
      </c>
      <c r="BK17" s="541">
        <f t="shared" si="65"/>
        <v>0.9499406880189798</v>
      </c>
      <c r="BL17" s="544">
        <f t="shared" si="65"/>
        <v>0.67852906287069992</v>
      </c>
      <c r="BM17" s="541">
        <f t="shared" si="65"/>
        <v>0.34448398576512457</v>
      </c>
      <c r="BN17" s="547">
        <f t="shared" ref="BN17:BP21" si="66">IF(OR(T17=0,$AW$29=0),0,(CK17/T17)/$AW$29)</f>
        <v>0.61937524713325431</v>
      </c>
      <c r="BO17" s="550">
        <f t="shared" si="66"/>
        <v>0</v>
      </c>
      <c r="BP17" s="553">
        <f t="shared" si="66"/>
        <v>0</v>
      </c>
      <c r="BQ17" s="236"/>
      <c r="BR17" s="228" t="s">
        <v>296</v>
      </c>
      <c r="BS17" s="241" t="str">
        <f t="shared" ref="BS17:BT20" si="67">BS11</f>
        <v>Zeer zwaar</v>
      </c>
      <c r="BT17" s="241" t="str">
        <f t="shared" si="67"/>
        <v>86-95+</v>
      </c>
      <c r="BU17" s="232">
        <f>SUMIFS(Hulptabel!$V$3:$V$152,Hulptabel!$B$3:$B$152,Vlootplan!$AU17,Hulptabel!$D$3:$D$152,Vlootplan!AX$4)</f>
        <v>39</v>
      </c>
      <c r="BV17" s="233">
        <f>SUMIFS(Hulptabel!$V$3:$V$152,Hulptabel!$B$3:$B$152,Vlootplan!$AU17,Hulptabel!$D$3:$D$152,Vlootplan!AY$4)</f>
        <v>0</v>
      </c>
      <c r="BW17" s="233">
        <f>SUMIFS(Hulptabel!$V$3:$V$152,Hulptabel!$B$3:$B$152,Vlootplan!$AU17,Hulptabel!$D$3:$D$152,Vlootplan!AZ$4)</f>
        <v>0</v>
      </c>
      <c r="BX17" s="234">
        <f>SUMIFS(Hulptabel!$V$3:$V$152,Hulptabel!$B$3:$B$152,Vlootplan!$AU17,Hulptabel!$D$3:$D$152,Vlootplan!BA$4)</f>
        <v>0</v>
      </c>
      <c r="BY17" s="232">
        <f>SUMIFS(Hulptabel!$V$3:$V$152,Hulptabel!$B$3:$B$152,Vlootplan!$AU17,Hulptabel!$D$3:$D$152,Vlootplan!BB$4)</f>
        <v>0</v>
      </c>
      <c r="BZ17" s="233">
        <f>SUMIFS(Hulptabel!$V$3:$V$152,Hulptabel!$B$3:$B$152,Vlootplan!$AU17,Hulptabel!$D$3:$D$152,Vlootplan!BC$4)</f>
        <v>0</v>
      </c>
      <c r="CA17" s="233">
        <f>SUMIFS(Hulptabel!$V$3:$V$152,Hulptabel!$B$3:$B$152,Vlootplan!$AU17,Hulptabel!$D$3:$D$152,Vlootplan!BD$4)</f>
        <v>0</v>
      </c>
      <c r="CB17" s="233">
        <f>SUMIFS(Hulptabel!$V$3:$V$152,Hulptabel!$B$3:$B$152,Vlootplan!$AU17,Hulptabel!$D$3:$D$152,Vlootplan!BE$4)</f>
        <v>0</v>
      </c>
      <c r="CC17" s="235">
        <f>SUMIFS(Hulptabel!$V$3:$V$152,Hulptabel!$B$3:$B$152,Vlootplan!$AU17,Hulptabel!$D$3:$D$152,Vlootplan!BF$4)</f>
        <v>0</v>
      </c>
      <c r="CD17" s="532">
        <f>SUMIFS(Hulptabel!$V$3:$V$152,Hulptabel!$B$3:$B$152,3,Hulptabel!$D$3:$D$152,Vlootplan!BG$4)</f>
        <v>243</v>
      </c>
      <c r="CE17" s="535">
        <f>SUMIFS(Hulptabel!$V$3:$V$152,Hulptabel!$B$3:$B$152,3,Hulptabel!$D$3:$D$152,Vlootplan!BH$4)</f>
        <v>366</v>
      </c>
      <c r="CF17" s="535">
        <f>SUMIFS(Hulptabel!$V$3:$V$152,Hulptabel!$B$3:$B$152,3,Hulptabel!$D$3:$D$152,Vlootplan!BI$4)</f>
        <v>40</v>
      </c>
      <c r="CG17" s="535">
        <f>SUMIFS(Hulptabel!$V$3:$V$152,Hulptabel!$B$3:$B$152,3,Hulptabel!$D$3:$D$152,Vlootplan!BJ$4)</f>
        <v>1220</v>
      </c>
      <c r="CH17" s="520">
        <f>SUMIFS(Hulptabel!$V$3:$V$152,Hulptabel!$B$3:$B$152,3,Hulptabel!$D$3:$D$152,Vlootplan!BK$4)</f>
        <v>182</v>
      </c>
      <c r="CI17" s="538">
        <f>SUMIFS(Hulptabel!$V$3:$V$152,Hulptabel!$B$3:$B$152,3,Hulptabel!$D$3:$D$152,Vlootplan!BL$4)</f>
        <v>260</v>
      </c>
      <c r="CJ17" s="520">
        <f>SUMIFS(Hulptabel!$V$3:$V$152,Hulptabel!$B$3:$B$152,3,Hulptabel!$D$3:$D$152,Vlootplan!BM$4)</f>
        <v>66</v>
      </c>
      <c r="CK17" s="523">
        <f>SUMIFS(Hulptabel!$V$3:$V$152,Hulptabel!$B$3:$B$152,3,Hulptabel!$D$3:$D$152,Vlootplan!BN$4)</f>
        <v>356</v>
      </c>
      <c r="CL17" s="526">
        <f>SUMIFS(Hulptabel!$V$3:$V$152,Hulptabel!$B$3:$B$152,3,Hulptabel!$D$3:$D$152,Vlootplan!BO$4)</f>
        <v>0</v>
      </c>
      <c r="CM17" s="529">
        <f>SUMIFS(Hulptabel!$V$3:$V$152,Hulptabel!$B$3:$B$152,3,Hulptabel!$D$3:$D$152,Vlootplan!BP$4)</f>
        <v>0</v>
      </c>
    </row>
    <row r="18" spans="1:91" x14ac:dyDescent="0.25">
      <c r="A18" s="228" t="s">
        <v>262</v>
      </c>
      <c r="B18" s="241" t="str">
        <f t="shared" si="62"/>
        <v>Zwaar</v>
      </c>
      <c r="C18" s="241" t="str">
        <f t="shared" si="62"/>
        <v>76-85</v>
      </c>
      <c r="D18" s="242">
        <f>COUNTIFS(Hulptabel!$B$3:$B$152,Vlootplan!$A18,Hulptabel!$D$3:$D$152,Vlootplan!D$4)</f>
        <v>0</v>
      </c>
      <c r="E18" s="243">
        <f>COUNTIFS(Hulptabel!$B$3:$B$152,Vlootplan!$A18,Hulptabel!$D$3:$D$152,Vlootplan!E$4)</f>
        <v>0</v>
      </c>
      <c r="F18" s="243">
        <f>COUNTIFS(Hulptabel!$B$3:$B$152,Vlootplan!$A18,Hulptabel!$D$3:$D$152,Vlootplan!F$4)</f>
        <v>1</v>
      </c>
      <c r="G18" s="244">
        <f>COUNTIFS(Hulptabel!$B$3:$B$152,Vlootplan!$A18,Hulptabel!$D$3:$D$152,Vlootplan!G$4)</f>
        <v>0</v>
      </c>
      <c r="H18" s="242">
        <f>COUNTIFS(Hulptabel!$B$3:$B$152,Vlootplan!$A18,Hulptabel!$D$3:$D$152,Vlootplan!H$4)</f>
        <v>0</v>
      </c>
      <c r="I18" s="243">
        <f>COUNTIFS(Hulptabel!$B$3:$B$152,Vlootplan!$A18,Hulptabel!$D$3:$D$152,Vlootplan!I$4)</f>
        <v>0</v>
      </c>
      <c r="J18" s="243">
        <f>COUNTIFS(Hulptabel!$B$3:$B$152,Vlootplan!$A18,Hulptabel!$D$3:$D$152,Vlootplan!J$4)</f>
        <v>0</v>
      </c>
      <c r="K18" s="243">
        <f>COUNTIFS(Hulptabel!$B$3:$B$152,Vlootplan!$A18,Hulptabel!$D$3:$D$152,Vlootplan!K$4)</f>
        <v>1</v>
      </c>
      <c r="L18" s="245">
        <f>COUNTIFS(Hulptabel!$B$3:$B$152,Vlootplan!$A18,Hulptabel!$D$3:$D$152,Vlootplan!L$4)</f>
        <v>1</v>
      </c>
      <c r="M18" s="533"/>
      <c r="N18" s="536"/>
      <c r="O18" s="536"/>
      <c r="P18" s="536"/>
      <c r="Q18" s="521"/>
      <c r="R18" s="539"/>
      <c r="S18" s="521"/>
      <c r="T18" s="524"/>
      <c r="U18" s="527"/>
      <c r="V18" s="530"/>
      <c r="W18" s="236"/>
      <c r="X18" s="228" t="s">
        <v>262</v>
      </c>
      <c r="Y18" s="241" t="str">
        <f t="shared" si="63"/>
        <v>Zwaar</v>
      </c>
      <c r="Z18" s="241" t="str">
        <f t="shared" si="63"/>
        <v>76-85</v>
      </c>
      <c r="AA18" s="359">
        <f>IF(Deler=0,0,(SUMIFS(Hulptabel!$G$3:$G$152,Hulptabel!$B$3:$B$152,Vlootplan!$X18,Hulptabel!$D$3:$D$152,Vlootplan!AA$4)/Deler)-D18)</f>
        <v>0</v>
      </c>
      <c r="AB18" s="360">
        <f>IF(Deler=0,0,(SUMIFS(Hulptabel!$G$3:$G$152,Hulptabel!$B$3:$B$152,Vlootplan!$X18,Hulptabel!$D$3:$D$152,Vlootplan!AB$4)/Deler)-E18)</f>
        <v>0</v>
      </c>
      <c r="AC18" s="360">
        <f>IF(Deler=0,0,(SUMIFS(Hulptabel!$G$3:$G$152,Hulptabel!$B$3:$B$152,Vlootplan!$X18,Hulptabel!$D$3:$D$152,Vlootplan!AC$4)/Deler)-F18)</f>
        <v>2.8964143426294817</v>
      </c>
      <c r="AD18" s="361">
        <f>IF(Deler=0,0,(SUMIFS(Hulptabel!$G$3:$G$152,Hulptabel!$B$3:$B$152,Vlootplan!$X18,Hulptabel!$D$3:$D$152,Vlootplan!AD$4)/Deler)-G18)</f>
        <v>0</v>
      </c>
      <c r="AE18" s="359">
        <f>IF(Deler=0,0,(SUMIFS(Hulptabel!$G$3:$G$152,Hulptabel!$B$3:$B$152,Vlootplan!$X18,Hulptabel!$D$3:$D$152,Vlootplan!AE$4)/Deler)-H18)</f>
        <v>0</v>
      </c>
      <c r="AF18" s="360">
        <f>IF(Deler=0,0,(SUMIFS(Hulptabel!$G$3:$G$152,Hulptabel!$B$3:$B$152,Vlootplan!$X18,Hulptabel!$D$3:$D$152,Vlootplan!AF$4)/Deler)-I18)</f>
        <v>0</v>
      </c>
      <c r="AG18" s="360">
        <f>IF(Deler=0,0,(SUMIFS(Hulptabel!$G$3:$G$152,Hulptabel!$B$3:$B$152,Vlootplan!$X18,Hulptabel!$D$3:$D$152,Vlootplan!AG$4)/Deler)-J18)</f>
        <v>0</v>
      </c>
      <c r="AH18" s="360">
        <f>IF(Deler=0,0,(SUMIFS(Hulptabel!$G$3:$G$152,Hulptabel!$B$3:$B$152,Vlootplan!$X18,Hulptabel!$D$3:$D$152,Vlootplan!AH$4)/Deler)-K18)</f>
        <v>-5.5776892430278946E-2</v>
      </c>
      <c r="AI18" s="362">
        <f>IF(Deler=0,0,(SUMIFS(Hulptabel!$G$3:$G$152,Hulptabel!$B$3:$B$152,Vlootplan!$X18,Hulptabel!$D$3:$D$152,Vlootplan!AI$4)/Deler)-L18)</f>
        <v>-0.952191235059761</v>
      </c>
      <c r="AJ18" s="578">
        <v>0</v>
      </c>
      <c r="AK18" s="587">
        <v>0</v>
      </c>
      <c r="AL18" s="587">
        <v>0</v>
      </c>
      <c r="AM18" s="590">
        <v>0</v>
      </c>
      <c r="AN18" s="578">
        <v>0</v>
      </c>
      <c r="AO18" s="590">
        <v>0</v>
      </c>
      <c r="AP18" s="578">
        <v>0</v>
      </c>
      <c r="AQ18" s="593">
        <v>0</v>
      </c>
      <c r="AR18" s="581">
        <v>0</v>
      </c>
      <c r="AS18" s="584">
        <v>0</v>
      </c>
      <c r="AU18" s="228" t="s">
        <v>262</v>
      </c>
      <c r="AV18" s="241" t="str">
        <f t="shared" si="64"/>
        <v>Zwaar</v>
      </c>
      <c r="AW18" s="241" t="str">
        <f t="shared" si="64"/>
        <v>76-85</v>
      </c>
      <c r="AX18" s="246">
        <f t="shared" si="65"/>
        <v>0</v>
      </c>
      <c r="AY18" s="247">
        <f t="shared" si="65"/>
        <v>0</v>
      </c>
      <c r="AZ18" s="247">
        <f t="shared" si="65"/>
        <v>6.8061684460260974</v>
      </c>
      <c r="BA18" s="248">
        <f t="shared" si="65"/>
        <v>0</v>
      </c>
      <c r="BB18" s="246">
        <f t="shared" si="65"/>
        <v>0</v>
      </c>
      <c r="BC18" s="247">
        <f t="shared" si="65"/>
        <v>0</v>
      </c>
      <c r="BD18" s="247">
        <f t="shared" si="65"/>
        <v>0</v>
      </c>
      <c r="BE18" s="247">
        <f t="shared" si="65"/>
        <v>1.6493475682087781</v>
      </c>
      <c r="BF18" s="249">
        <f t="shared" si="65"/>
        <v>0.16702253855278765</v>
      </c>
      <c r="BG18" s="542">
        <f t="shared" si="65"/>
        <v>0</v>
      </c>
      <c r="BH18" s="563">
        <f t="shared" si="65"/>
        <v>0</v>
      </c>
      <c r="BI18" s="563">
        <f t="shared" si="65"/>
        <v>0</v>
      </c>
      <c r="BJ18" s="545">
        <f t="shared" si="65"/>
        <v>0</v>
      </c>
      <c r="BK18" s="542">
        <f t="shared" si="65"/>
        <v>0</v>
      </c>
      <c r="BL18" s="545">
        <f t="shared" si="65"/>
        <v>0</v>
      </c>
      <c r="BM18" s="542">
        <f t="shared" si="65"/>
        <v>0</v>
      </c>
      <c r="BN18" s="548">
        <f t="shared" si="66"/>
        <v>0</v>
      </c>
      <c r="BO18" s="551">
        <f t="shared" si="66"/>
        <v>0</v>
      </c>
      <c r="BP18" s="554">
        <f t="shared" si="66"/>
        <v>0</v>
      </c>
      <c r="BQ18" s="236"/>
      <c r="BR18" s="228" t="s">
        <v>262</v>
      </c>
      <c r="BS18" s="241" t="str">
        <f t="shared" si="67"/>
        <v>Zwaar</v>
      </c>
      <c r="BT18" s="241" t="str">
        <f t="shared" si="67"/>
        <v>76-85</v>
      </c>
      <c r="BU18" s="242">
        <f>SUMIFS(Hulptabel!$V$3:$V$152,Hulptabel!$B$3:$B$152,Vlootplan!$AU18,Hulptabel!$D$3:$D$152,Vlootplan!AX$4)</f>
        <v>0</v>
      </c>
      <c r="BV18" s="243">
        <f>SUMIFS(Hulptabel!$V$3:$V$152,Hulptabel!$B$3:$B$152,Vlootplan!$AU18,Hulptabel!$D$3:$D$152,Vlootplan!AY$4)</f>
        <v>0</v>
      </c>
      <c r="BW18" s="243">
        <f>SUMIFS(Hulptabel!$V$3:$V$152,Hulptabel!$B$3:$B$152,Vlootplan!$AU18,Hulptabel!$D$3:$D$152,Vlootplan!AZ$4)</f>
        <v>1304</v>
      </c>
      <c r="BX18" s="244">
        <f>SUMIFS(Hulptabel!$V$3:$V$152,Hulptabel!$B$3:$B$152,Vlootplan!$AU18,Hulptabel!$D$3:$D$152,Vlootplan!BA$4)</f>
        <v>0</v>
      </c>
      <c r="BY18" s="242">
        <f>SUMIFS(Hulptabel!$V$3:$V$152,Hulptabel!$B$3:$B$152,Vlootplan!$AU18,Hulptabel!$D$3:$D$152,Vlootplan!BB$4)</f>
        <v>0</v>
      </c>
      <c r="BZ18" s="243">
        <f>SUMIFS(Hulptabel!$V$3:$V$152,Hulptabel!$B$3:$B$152,Vlootplan!$AU18,Hulptabel!$D$3:$D$152,Vlootplan!BC$4)</f>
        <v>0</v>
      </c>
      <c r="CA18" s="243">
        <f>SUMIFS(Hulptabel!$V$3:$V$152,Hulptabel!$B$3:$B$152,Vlootplan!$AU18,Hulptabel!$D$3:$D$152,Vlootplan!BD$4)</f>
        <v>0</v>
      </c>
      <c r="CB18" s="243">
        <f>SUMIFS(Hulptabel!$V$3:$V$152,Hulptabel!$B$3:$B$152,Vlootplan!$AU18,Hulptabel!$D$3:$D$152,Vlootplan!BE$4)</f>
        <v>316</v>
      </c>
      <c r="CC18" s="245">
        <f>SUMIFS(Hulptabel!$V$3:$V$152,Hulptabel!$B$3:$B$152,Vlootplan!$AU18,Hulptabel!$D$3:$D$152,Vlootplan!BF$4)</f>
        <v>32</v>
      </c>
      <c r="CD18" s="533"/>
      <c r="CE18" s="536"/>
      <c r="CF18" s="536"/>
      <c r="CG18" s="536"/>
      <c r="CH18" s="521"/>
      <c r="CI18" s="539"/>
      <c r="CJ18" s="521"/>
      <c r="CK18" s="524"/>
      <c r="CL18" s="527"/>
      <c r="CM18" s="530"/>
    </row>
    <row r="19" spans="1:91" x14ac:dyDescent="0.25">
      <c r="A19" s="228" t="s">
        <v>237</v>
      </c>
      <c r="B19" s="241" t="str">
        <f t="shared" si="62"/>
        <v>Middel</v>
      </c>
      <c r="C19" s="241" t="str">
        <f t="shared" si="62"/>
        <v>66-75</v>
      </c>
      <c r="D19" s="242">
        <f>COUNTIFS(Hulptabel!$B$3:$B$152,Vlootplan!$A19,Hulptabel!$D$3:$D$152,Vlootplan!D$4)</f>
        <v>3</v>
      </c>
      <c r="E19" s="243">
        <f>COUNTIFS(Hulptabel!$B$3:$B$152,Vlootplan!$A19,Hulptabel!$D$3:$D$152,Vlootplan!E$4)</f>
        <v>0</v>
      </c>
      <c r="F19" s="243">
        <f>COUNTIFS(Hulptabel!$B$3:$B$152,Vlootplan!$A19,Hulptabel!$D$3:$D$152,Vlootplan!F$4)</f>
        <v>1</v>
      </c>
      <c r="G19" s="244">
        <f>COUNTIFS(Hulptabel!$B$3:$B$152,Vlootplan!$A19,Hulptabel!$D$3:$D$152,Vlootplan!G$4)</f>
        <v>0</v>
      </c>
      <c r="H19" s="242">
        <f>COUNTIFS(Hulptabel!$B$3:$B$152,Vlootplan!$A19,Hulptabel!$D$3:$D$152,Vlootplan!H$4)</f>
        <v>0</v>
      </c>
      <c r="I19" s="243">
        <f>COUNTIFS(Hulptabel!$B$3:$B$152,Vlootplan!$A19,Hulptabel!$D$3:$D$152,Vlootplan!I$4)</f>
        <v>0</v>
      </c>
      <c r="J19" s="243">
        <f>COUNTIFS(Hulptabel!$B$3:$B$152,Vlootplan!$A19,Hulptabel!$D$3:$D$152,Vlootplan!J$4)</f>
        <v>0</v>
      </c>
      <c r="K19" s="243">
        <f>COUNTIFS(Hulptabel!$B$3:$B$152,Vlootplan!$A19,Hulptabel!$D$3:$D$152,Vlootplan!K$4)</f>
        <v>0</v>
      </c>
      <c r="L19" s="245">
        <f>COUNTIFS(Hulptabel!$B$3:$B$152,Vlootplan!$A19,Hulptabel!$D$3:$D$152,Vlootplan!L$4)</f>
        <v>0</v>
      </c>
      <c r="M19" s="533"/>
      <c r="N19" s="536"/>
      <c r="O19" s="536"/>
      <c r="P19" s="536"/>
      <c r="Q19" s="521"/>
      <c r="R19" s="539"/>
      <c r="S19" s="521"/>
      <c r="T19" s="524"/>
      <c r="U19" s="527"/>
      <c r="V19" s="530"/>
      <c r="W19" s="236"/>
      <c r="X19" s="228" t="s">
        <v>237</v>
      </c>
      <c r="Y19" s="241" t="str">
        <f t="shared" si="63"/>
        <v>Middel</v>
      </c>
      <c r="Z19" s="241" t="str">
        <f t="shared" si="63"/>
        <v>66-75</v>
      </c>
      <c r="AA19" s="359">
        <f>IF(Deler=0,0,(SUMIFS(Hulptabel!$G$3:$G$152,Hulptabel!$B$3:$B$152,Vlootplan!$X19,Hulptabel!$D$3:$D$152,Vlootplan!AA$4)/Deler)-D19)</f>
        <v>-0.60956175298804816</v>
      </c>
      <c r="AB19" s="360">
        <f>IF(Deler=0,0,(SUMIFS(Hulptabel!$G$3:$G$152,Hulptabel!$B$3:$B$152,Vlootplan!$X19,Hulptabel!$D$3:$D$152,Vlootplan!AB$4)/Deler)-E19)</f>
        <v>0</v>
      </c>
      <c r="AC19" s="360">
        <f>IF(Deler=0,0,(SUMIFS(Hulptabel!$G$3:$G$152,Hulptabel!$B$3:$B$152,Vlootplan!$X19,Hulptabel!$D$3:$D$152,Vlootplan!AC$4)/Deler)-F19)</f>
        <v>-0.21115537848605581</v>
      </c>
      <c r="AD19" s="361">
        <f>IF(Deler=0,0,(SUMIFS(Hulptabel!$G$3:$G$152,Hulptabel!$B$3:$B$152,Vlootplan!$X19,Hulptabel!$D$3:$D$152,Vlootplan!AD$4)/Deler)-G19)</f>
        <v>0</v>
      </c>
      <c r="AE19" s="359">
        <f>IF(Deler=0,0,(SUMIFS(Hulptabel!$G$3:$G$152,Hulptabel!$B$3:$B$152,Vlootplan!$X19,Hulptabel!$D$3:$D$152,Vlootplan!AE$4)/Deler)-H19)</f>
        <v>0</v>
      </c>
      <c r="AF19" s="360">
        <f>IF(Deler=0,0,(SUMIFS(Hulptabel!$G$3:$G$152,Hulptabel!$B$3:$B$152,Vlootplan!$X19,Hulptabel!$D$3:$D$152,Vlootplan!AF$4)/Deler)-I19)</f>
        <v>0</v>
      </c>
      <c r="AG19" s="360">
        <f>IF(Deler=0,0,(SUMIFS(Hulptabel!$G$3:$G$152,Hulptabel!$B$3:$B$152,Vlootplan!$X19,Hulptabel!$D$3:$D$152,Vlootplan!AG$4)/Deler)-J19)</f>
        <v>0</v>
      </c>
      <c r="AH19" s="360">
        <f>IF(Deler=0,0,(SUMIFS(Hulptabel!$G$3:$G$152,Hulptabel!$B$3:$B$152,Vlootplan!$X19,Hulptabel!$D$3:$D$152,Vlootplan!AH$4)/Deler)-K19)</f>
        <v>0</v>
      </c>
      <c r="AI19" s="362">
        <f>IF(Deler=0,0,(SUMIFS(Hulptabel!$G$3:$G$152,Hulptabel!$B$3:$B$152,Vlootplan!$X19,Hulptabel!$D$3:$D$152,Vlootplan!AI$4)/Deler)-L19)</f>
        <v>0</v>
      </c>
      <c r="AJ19" s="578">
        <v>0</v>
      </c>
      <c r="AK19" s="587">
        <v>0</v>
      </c>
      <c r="AL19" s="587">
        <v>0</v>
      </c>
      <c r="AM19" s="590">
        <v>0</v>
      </c>
      <c r="AN19" s="578">
        <v>0</v>
      </c>
      <c r="AO19" s="590">
        <v>0</v>
      </c>
      <c r="AP19" s="578">
        <v>0</v>
      </c>
      <c r="AQ19" s="593">
        <v>0</v>
      </c>
      <c r="AR19" s="581">
        <v>0</v>
      </c>
      <c r="AS19" s="584">
        <v>0</v>
      </c>
      <c r="AU19" s="228" t="s">
        <v>237</v>
      </c>
      <c r="AV19" s="241" t="str">
        <f t="shared" si="64"/>
        <v>Middel</v>
      </c>
      <c r="AW19" s="241" t="str">
        <f t="shared" si="64"/>
        <v>66-75</v>
      </c>
      <c r="AX19" s="246">
        <f t="shared" si="65"/>
        <v>0.34796362198497433</v>
      </c>
      <c r="AY19" s="247">
        <f t="shared" si="65"/>
        <v>0</v>
      </c>
      <c r="AZ19" s="247">
        <f t="shared" si="65"/>
        <v>1.3779359430604983</v>
      </c>
      <c r="BA19" s="248">
        <f t="shared" si="65"/>
        <v>0</v>
      </c>
      <c r="BB19" s="246">
        <f t="shared" si="65"/>
        <v>0</v>
      </c>
      <c r="BC19" s="247">
        <f t="shared" si="65"/>
        <v>0</v>
      </c>
      <c r="BD19" s="247">
        <f t="shared" si="65"/>
        <v>0</v>
      </c>
      <c r="BE19" s="247">
        <f t="shared" si="65"/>
        <v>0</v>
      </c>
      <c r="BF19" s="249">
        <f t="shared" si="65"/>
        <v>0</v>
      </c>
      <c r="BG19" s="542">
        <f t="shared" si="65"/>
        <v>0</v>
      </c>
      <c r="BH19" s="563">
        <f t="shared" si="65"/>
        <v>0</v>
      </c>
      <c r="BI19" s="563">
        <f t="shared" si="65"/>
        <v>0</v>
      </c>
      <c r="BJ19" s="545">
        <f t="shared" si="65"/>
        <v>0</v>
      </c>
      <c r="BK19" s="542">
        <f t="shared" si="65"/>
        <v>0</v>
      </c>
      <c r="BL19" s="545">
        <f t="shared" si="65"/>
        <v>0</v>
      </c>
      <c r="BM19" s="542">
        <f t="shared" si="65"/>
        <v>0</v>
      </c>
      <c r="BN19" s="548">
        <f t="shared" si="66"/>
        <v>0</v>
      </c>
      <c r="BO19" s="551">
        <f t="shared" si="66"/>
        <v>0</v>
      </c>
      <c r="BP19" s="554">
        <f t="shared" si="66"/>
        <v>0</v>
      </c>
      <c r="BQ19" s="236"/>
      <c r="BR19" s="228" t="s">
        <v>237</v>
      </c>
      <c r="BS19" s="241" t="str">
        <f t="shared" si="67"/>
        <v>Middel</v>
      </c>
      <c r="BT19" s="241" t="str">
        <f t="shared" si="67"/>
        <v>66-75</v>
      </c>
      <c r="BU19" s="242">
        <f>SUMIFS(Hulptabel!$V$3:$V$152,Hulptabel!$B$3:$B$152,Vlootplan!$AU19,Hulptabel!$D$3:$D$152,Vlootplan!AX$4)</f>
        <v>200</v>
      </c>
      <c r="BV19" s="243">
        <f>SUMIFS(Hulptabel!$V$3:$V$152,Hulptabel!$B$3:$B$152,Vlootplan!$AU19,Hulptabel!$D$3:$D$152,Vlootplan!AY$4)</f>
        <v>0</v>
      </c>
      <c r="BW19" s="243">
        <f>SUMIFS(Hulptabel!$V$3:$V$152,Hulptabel!$B$3:$B$152,Vlootplan!$AU19,Hulptabel!$D$3:$D$152,Vlootplan!AZ$4)</f>
        <v>264</v>
      </c>
      <c r="BX19" s="244">
        <f>SUMIFS(Hulptabel!$V$3:$V$152,Hulptabel!$B$3:$B$152,Vlootplan!$AU19,Hulptabel!$D$3:$D$152,Vlootplan!BA$4)</f>
        <v>0</v>
      </c>
      <c r="BY19" s="242">
        <f>SUMIFS(Hulptabel!$V$3:$V$152,Hulptabel!$B$3:$B$152,Vlootplan!$AU19,Hulptabel!$D$3:$D$152,Vlootplan!BB$4)</f>
        <v>0</v>
      </c>
      <c r="BZ19" s="243">
        <f>SUMIFS(Hulptabel!$V$3:$V$152,Hulptabel!$B$3:$B$152,Vlootplan!$AU19,Hulptabel!$D$3:$D$152,Vlootplan!BC$4)</f>
        <v>0</v>
      </c>
      <c r="CA19" s="243">
        <f>SUMIFS(Hulptabel!$V$3:$V$152,Hulptabel!$B$3:$B$152,Vlootplan!$AU19,Hulptabel!$D$3:$D$152,Vlootplan!BD$4)</f>
        <v>0</v>
      </c>
      <c r="CB19" s="243">
        <f>SUMIFS(Hulptabel!$V$3:$V$152,Hulptabel!$B$3:$B$152,Vlootplan!$AU19,Hulptabel!$D$3:$D$152,Vlootplan!BE$4)</f>
        <v>0</v>
      </c>
      <c r="CC19" s="245">
        <f>SUMIFS(Hulptabel!$V$3:$V$152,Hulptabel!$B$3:$B$152,Vlootplan!$AU19,Hulptabel!$D$3:$D$152,Vlootplan!BF$4)</f>
        <v>0</v>
      </c>
      <c r="CD19" s="533"/>
      <c r="CE19" s="536"/>
      <c r="CF19" s="536"/>
      <c r="CG19" s="536"/>
      <c r="CH19" s="521"/>
      <c r="CI19" s="539"/>
      <c r="CJ19" s="521"/>
      <c r="CK19" s="524"/>
      <c r="CL19" s="527"/>
      <c r="CM19" s="530"/>
    </row>
    <row r="20" spans="1:91" x14ac:dyDescent="0.25">
      <c r="A20" s="228" t="s">
        <v>230</v>
      </c>
      <c r="B20" s="241" t="str">
        <f t="shared" si="62"/>
        <v>Licht</v>
      </c>
      <c r="C20" s="241" t="str">
        <f t="shared" si="62"/>
        <v>55-65</v>
      </c>
      <c r="D20" s="250">
        <f>COUNTIFS(Hulptabel!$B$3:$B$152,Vlootplan!$A20,Hulptabel!$D$3:$D$152,Vlootplan!D$4)</f>
        <v>10</v>
      </c>
      <c r="E20" s="251">
        <f>COUNTIFS(Hulptabel!$B$3:$B$152,Vlootplan!$A20,Hulptabel!$D$3:$D$152,Vlootplan!E$4)</f>
        <v>2</v>
      </c>
      <c r="F20" s="251">
        <f>COUNTIFS(Hulptabel!$B$3:$B$152,Vlootplan!$A20,Hulptabel!$D$3:$D$152,Vlootplan!F$4)</f>
        <v>0</v>
      </c>
      <c r="G20" s="252">
        <f>COUNTIFS(Hulptabel!$B$3:$B$152,Vlootplan!$A20,Hulptabel!$D$3:$D$152,Vlootplan!G$4)</f>
        <v>0</v>
      </c>
      <c r="H20" s="250">
        <f>COUNTIFS(Hulptabel!$B$3:$B$152,Vlootplan!$A20,Hulptabel!$D$3:$D$152,Vlootplan!H$4)</f>
        <v>0</v>
      </c>
      <c r="I20" s="251">
        <f>COUNTIFS(Hulptabel!$B$3:$B$152,Vlootplan!$A20,Hulptabel!$D$3:$D$152,Vlootplan!I$4)</f>
        <v>0</v>
      </c>
      <c r="J20" s="251">
        <f>COUNTIFS(Hulptabel!$B$3:$B$152,Vlootplan!$A20,Hulptabel!$D$3:$D$152,Vlootplan!J$4)</f>
        <v>0</v>
      </c>
      <c r="K20" s="251">
        <f>COUNTIFS(Hulptabel!$B$3:$B$152,Vlootplan!$A20,Hulptabel!$D$3:$D$152,Vlootplan!K$4)</f>
        <v>0</v>
      </c>
      <c r="L20" s="253">
        <f>COUNTIFS(Hulptabel!$B$3:$B$152,Vlootplan!$A20,Hulptabel!$D$3:$D$152,Vlootplan!L$4)</f>
        <v>0</v>
      </c>
      <c r="M20" s="534"/>
      <c r="N20" s="537"/>
      <c r="O20" s="537"/>
      <c r="P20" s="537"/>
      <c r="Q20" s="522"/>
      <c r="R20" s="540"/>
      <c r="S20" s="522"/>
      <c r="T20" s="525"/>
      <c r="U20" s="528"/>
      <c r="V20" s="531"/>
      <c r="W20" s="236"/>
      <c r="X20" s="228" t="s">
        <v>230</v>
      </c>
      <c r="Y20" s="241" t="str">
        <f t="shared" si="63"/>
        <v>Licht</v>
      </c>
      <c r="Z20" s="241" t="str">
        <f t="shared" si="63"/>
        <v>55-65</v>
      </c>
      <c r="AA20" s="363">
        <f>IF(Deler=0,0,(SUMIFS(Hulptabel!$G$3:$G$152,Hulptabel!$B$3:$B$152,Vlootplan!$X20,Hulptabel!$D$3:$D$152,Vlootplan!AA$4)/Deler)-D20)</f>
        <v>-4.8247011952191237</v>
      </c>
      <c r="AB20" s="364">
        <f>IF(Deler=0,0,(SUMIFS(Hulptabel!$G$3:$G$152,Hulptabel!$B$3:$B$152,Vlootplan!$X20,Hulptabel!$D$3:$D$152,Vlootplan!AB$4)/Deler)-E20)</f>
        <v>-1.4143426294820718</v>
      </c>
      <c r="AC20" s="364">
        <f>IF(Deler=0,0,(SUMIFS(Hulptabel!$G$3:$G$152,Hulptabel!$B$3:$B$152,Vlootplan!$X20,Hulptabel!$D$3:$D$152,Vlootplan!AC$4)/Deler)-F20)</f>
        <v>0</v>
      </c>
      <c r="AD20" s="365">
        <f>IF(Deler=0,0,(SUMIFS(Hulptabel!$G$3:$G$152,Hulptabel!$B$3:$B$152,Vlootplan!$X20,Hulptabel!$D$3:$D$152,Vlootplan!AD$4)/Deler)-G20)</f>
        <v>0</v>
      </c>
      <c r="AE20" s="363">
        <f>IF(Deler=0,0,(SUMIFS(Hulptabel!$G$3:$G$152,Hulptabel!$B$3:$B$152,Vlootplan!$X20,Hulptabel!$D$3:$D$152,Vlootplan!AE$4)/Deler)-H20)</f>
        <v>0</v>
      </c>
      <c r="AF20" s="364">
        <f>IF(Deler=0,0,(SUMIFS(Hulptabel!$G$3:$G$152,Hulptabel!$B$3:$B$152,Vlootplan!$X20,Hulptabel!$D$3:$D$152,Vlootplan!AF$4)/Deler)-I20)</f>
        <v>0</v>
      </c>
      <c r="AG20" s="364">
        <f>IF(Deler=0,0,(SUMIFS(Hulptabel!$G$3:$G$152,Hulptabel!$B$3:$B$152,Vlootplan!$X20,Hulptabel!$D$3:$D$152,Vlootplan!AG$4)/Deler)-J20)</f>
        <v>0</v>
      </c>
      <c r="AH20" s="364">
        <f>IF(Deler=0,0,(SUMIFS(Hulptabel!$G$3:$G$152,Hulptabel!$B$3:$B$152,Vlootplan!$X20,Hulptabel!$D$3:$D$152,Vlootplan!AH$4)/Deler)-K20)</f>
        <v>0</v>
      </c>
      <c r="AI20" s="366">
        <f>IF(Deler=0,0,(SUMIFS(Hulptabel!$G$3:$G$152,Hulptabel!$B$3:$B$152,Vlootplan!$X20,Hulptabel!$D$3:$D$152,Vlootplan!AI$4)/Deler)-L20)</f>
        <v>0</v>
      </c>
      <c r="AJ20" s="579">
        <v>0</v>
      </c>
      <c r="AK20" s="588">
        <v>0</v>
      </c>
      <c r="AL20" s="588">
        <v>0</v>
      </c>
      <c r="AM20" s="591">
        <v>0</v>
      </c>
      <c r="AN20" s="579">
        <v>0</v>
      </c>
      <c r="AO20" s="591">
        <v>0</v>
      </c>
      <c r="AP20" s="579">
        <v>0</v>
      </c>
      <c r="AQ20" s="594">
        <v>0</v>
      </c>
      <c r="AR20" s="582">
        <v>0</v>
      </c>
      <c r="AS20" s="585">
        <v>0</v>
      </c>
      <c r="AU20" s="228" t="s">
        <v>230</v>
      </c>
      <c r="AV20" s="241" t="str">
        <f t="shared" si="64"/>
        <v>Licht</v>
      </c>
      <c r="AW20" s="241" t="str">
        <f t="shared" si="64"/>
        <v>55-65</v>
      </c>
      <c r="AX20" s="254">
        <f t="shared" si="65"/>
        <v>0.22600237247924079</v>
      </c>
      <c r="AY20" s="255">
        <f t="shared" si="65"/>
        <v>0.25575326215895611</v>
      </c>
      <c r="AZ20" s="255">
        <f t="shared" si="65"/>
        <v>0</v>
      </c>
      <c r="BA20" s="256">
        <f t="shared" si="65"/>
        <v>0</v>
      </c>
      <c r="BB20" s="254">
        <f t="shared" si="65"/>
        <v>0</v>
      </c>
      <c r="BC20" s="255">
        <f t="shared" si="65"/>
        <v>0</v>
      </c>
      <c r="BD20" s="255">
        <f t="shared" si="65"/>
        <v>0</v>
      </c>
      <c r="BE20" s="255">
        <f t="shared" si="65"/>
        <v>0</v>
      </c>
      <c r="BF20" s="257">
        <f t="shared" si="65"/>
        <v>0</v>
      </c>
      <c r="BG20" s="543">
        <f t="shared" si="65"/>
        <v>0</v>
      </c>
      <c r="BH20" s="564">
        <f t="shared" si="65"/>
        <v>0</v>
      </c>
      <c r="BI20" s="564">
        <f t="shared" si="65"/>
        <v>0</v>
      </c>
      <c r="BJ20" s="546">
        <f t="shared" si="65"/>
        <v>0</v>
      </c>
      <c r="BK20" s="543">
        <f t="shared" si="65"/>
        <v>0</v>
      </c>
      <c r="BL20" s="546">
        <f t="shared" si="65"/>
        <v>0</v>
      </c>
      <c r="BM20" s="543">
        <f t="shared" si="65"/>
        <v>0</v>
      </c>
      <c r="BN20" s="549">
        <f t="shared" si="66"/>
        <v>0</v>
      </c>
      <c r="BO20" s="552">
        <f t="shared" si="66"/>
        <v>0</v>
      </c>
      <c r="BP20" s="555">
        <f t="shared" si="66"/>
        <v>0</v>
      </c>
      <c r="BQ20" s="236"/>
      <c r="BR20" s="228" t="s">
        <v>230</v>
      </c>
      <c r="BS20" s="241" t="str">
        <f t="shared" si="67"/>
        <v>Licht</v>
      </c>
      <c r="BT20" s="241" t="str">
        <f t="shared" si="67"/>
        <v>55-65</v>
      </c>
      <c r="BU20" s="250">
        <f>SUMIFS(Hulptabel!$V$3:$V$152,Hulptabel!$B$3:$B$152,Vlootplan!$AU20,Hulptabel!$D$3:$D$152,Vlootplan!AX$4)</f>
        <v>433</v>
      </c>
      <c r="BV20" s="251">
        <f>SUMIFS(Hulptabel!$V$3:$V$152,Hulptabel!$B$3:$B$152,Vlootplan!$AU20,Hulptabel!$D$3:$D$152,Vlootplan!AY$4)</f>
        <v>98</v>
      </c>
      <c r="BW20" s="251">
        <f>SUMIFS(Hulptabel!$V$3:$V$152,Hulptabel!$B$3:$B$152,Vlootplan!$AU20,Hulptabel!$D$3:$D$152,Vlootplan!AZ$4)</f>
        <v>0</v>
      </c>
      <c r="BX20" s="252">
        <f>SUMIFS(Hulptabel!$V$3:$V$152,Hulptabel!$B$3:$B$152,Vlootplan!$AU20,Hulptabel!$D$3:$D$152,Vlootplan!BA$4)</f>
        <v>0</v>
      </c>
      <c r="BY20" s="250">
        <f>SUMIFS(Hulptabel!$V$3:$V$152,Hulptabel!$B$3:$B$152,Vlootplan!$AU20,Hulptabel!$D$3:$D$152,Vlootplan!BB$4)</f>
        <v>0</v>
      </c>
      <c r="BZ20" s="251">
        <f>SUMIFS(Hulptabel!$V$3:$V$152,Hulptabel!$B$3:$B$152,Vlootplan!$AU20,Hulptabel!$D$3:$D$152,Vlootplan!BC$4)</f>
        <v>0</v>
      </c>
      <c r="CA20" s="251">
        <f>SUMIFS(Hulptabel!$V$3:$V$152,Hulptabel!$B$3:$B$152,Vlootplan!$AU20,Hulptabel!$D$3:$D$152,Vlootplan!BD$4)</f>
        <v>0</v>
      </c>
      <c r="CB20" s="251">
        <f>SUMIFS(Hulptabel!$V$3:$V$152,Hulptabel!$B$3:$B$152,Vlootplan!$AU20,Hulptabel!$D$3:$D$152,Vlootplan!BE$4)</f>
        <v>0</v>
      </c>
      <c r="CC20" s="253">
        <f>SUMIFS(Hulptabel!$V$3:$V$152,Hulptabel!$B$3:$B$152,Vlootplan!$AU20,Hulptabel!$D$3:$D$152,Vlootplan!BF$4)</f>
        <v>0</v>
      </c>
      <c r="CD20" s="534"/>
      <c r="CE20" s="537"/>
      <c r="CF20" s="537"/>
      <c r="CG20" s="537"/>
      <c r="CH20" s="522"/>
      <c r="CI20" s="540"/>
      <c r="CJ20" s="522"/>
      <c r="CK20" s="525"/>
      <c r="CL20" s="528"/>
      <c r="CM20" s="531"/>
    </row>
    <row r="21" spans="1:91" s="258" customFormat="1" ht="27" customHeight="1" x14ac:dyDescent="0.25">
      <c r="C21" s="260">
        <f>SUM(D21:V21)</f>
        <v>37</v>
      </c>
      <c r="D21" s="261">
        <f t="shared" ref="D21:V21" si="68">SUM(D17:D20)</f>
        <v>14</v>
      </c>
      <c r="E21" s="261">
        <f t="shared" si="68"/>
        <v>2</v>
      </c>
      <c r="F21" s="261">
        <f t="shared" si="68"/>
        <v>2</v>
      </c>
      <c r="G21" s="261">
        <f t="shared" si="68"/>
        <v>0</v>
      </c>
      <c r="H21" s="261">
        <f t="shared" si="68"/>
        <v>0</v>
      </c>
      <c r="I21" s="261">
        <f t="shared" si="68"/>
        <v>0</v>
      </c>
      <c r="J21" s="261">
        <f t="shared" si="68"/>
        <v>0</v>
      </c>
      <c r="K21" s="261">
        <f t="shared" si="68"/>
        <v>1</v>
      </c>
      <c r="L21" s="261">
        <f t="shared" si="68"/>
        <v>1</v>
      </c>
      <c r="M21" s="261">
        <f t="shared" si="68"/>
        <v>5</v>
      </c>
      <c r="N21" s="261">
        <f t="shared" si="68"/>
        <v>2</v>
      </c>
      <c r="O21" s="261">
        <f t="shared" si="68"/>
        <v>1</v>
      </c>
      <c r="P21" s="261">
        <f t="shared" si="68"/>
        <v>2</v>
      </c>
      <c r="Q21" s="261">
        <f t="shared" si="68"/>
        <v>1</v>
      </c>
      <c r="R21" s="261">
        <f t="shared" si="68"/>
        <v>2</v>
      </c>
      <c r="S21" s="261">
        <f t="shared" si="68"/>
        <v>1</v>
      </c>
      <c r="T21" s="261">
        <f t="shared" si="68"/>
        <v>3</v>
      </c>
      <c r="U21" s="261">
        <f t="shared" si="68"/>
        <v>0</v>
      </c>
      <c r="V21" s="261">
        <f t="shared" si="68"/>
        <v>0</v>
      </c>
      <c r="Z21" s="262"/>
      <c r="AA21" s="367">
        <f t="shared" ref="AA21:AI21" si="69">SUM(AA17:AA20)</f>
        <v>-5.9681274900398407</v>
      </c>
      <c r="AB21" s="367">
        <f t="shared" si="69"/>
        <v>-1.4143426294820718</v>
      </c>
      <c r="AC21" s="367">
        <f t="shared" si="69"/>
        <v>2.6852589641434257</v>
      </c>
      <c r="AD21" s="367">
        <f t="shared" si="69"/>
        <v>0</v>
      </c>
      <c r="AE21" s="367">
        <f t="shared" si="69"/>
        <v>0</v>
      </c>
      <c r="AF21" s="367">
        <f t="shared" si="69"/>
        <v>0</v>
      </c>
      <c r="AG21" s="367">
        <f t="shared" si="69"/>
        <v>0</v>
      </c>
      <c r="AH21" s="367">
        <f t="shared" si="69"/>
        <v>-5.5776892430278946E-2</v>
      </c>
      <c r="AI21" s="367">
        <f t="shared" si="69"/>
        <v>-0.952191235059761</v>
      </c>
      <c r="AJ21" s="367">
        <f>AJ17</f>
        <v>-2.0956175298804784</v>
      </c>
      <c r="AK21" s="367">
        <f>AK17</f>
        <v>0.18725099601593609</v>
      </c>
      <c r="AL21" s="367">
        <f t="shared" ref="AL21:AS21" si="70">AL17</f>
        <v>-0.76095617529880477</v>
      </c>
      <c r="AM21" s="367">
        <f t="shared" si="70"/>
        <v>1.645418326693227</v>
      </c>
      <c r="AN21" s="367">
        <f t="shared" si="70"/>
        <v>8.7649402390438169E-2</v>
      </c>
      <c r="AO21" s="367">
        <f t="shared" si="70"/>
        <v>-1.2231075697211156</v>
      </c>
      <c r="AP21" s="367">
        <f t="shared" si="70"/>
        <v>-0.21115537848605581</v>
      </c>
      <c r="AQ21" s="367">
        <f t="shared" si="70"/>
        <v>-0.87250996015936266</v>
      </c>
      <c r="AR21" s="367">
        <f t="shared" si="70"/>
        <v>0</v>
      </c>
      <c r="AS21" s="367">
        <f t="shared" si="70"/>
        <v>0</v>
      </c>
      <c r="AW21" s="372">
        <f t="shared" ref="AW21" si="71">IF(OR(C21=0,$AW$29=0),0,(BT21/C21)/$AW$29)</f>
        <v>0.76443845981212522</v>
      </c>
      <c r="AX21" s="372">
        <f t="shared" si="65"/>
        <v>0.2505338078291815</v>
      </c>
      <c r="AY21" s="372">
        <f t="shared" si="65"/>
        <v>0.25575326215895611</v>
      </c>
      <c r="AZ21" s="372">
        <f t="shared" si="65"/>
        <v>4.0920521945432977</v>
      </c>
      <c r="BA21" s="372">
        <f t="shared" si="65"/>
        <v>0</v>
      </c>
      <c r="BB21" s="372">
        <f t="shared" si="65"/>
        <v>0</v>
      </c>
      <c r="BC21" s="372">
        <f t="shared" si="65"/>
        <v>0</v>
      </c>
      <c r="BD21" s="372">
        <f t="shared" si="65"/>
        <v>0</v>
      </c>
      <c r="BE21" s="372">
        <f t="shared" si="65"/>
        <v>1.6493475682087781</v>
      </c>
      <c r="BF21" s="372">
        <f t="shared" si="65"/>
        <v>0.16702253855278765</v>
      </c>
      <c r="BG21" s="372">
        <f t="shared" si="65"/>
        <v>0.25366548042704629</v>
      </c>
      <c r="BH21" s="372">
        <f t="shared" si="65"/>
        <v>0.95516014234875446</v>
      </c>
      <c r="BI21" s="372">
        <f t="shared" si="65"/>
        <v>0.20877817319098457</v>
      </c>
      <c r="BJ21" s="372">
        <f t="shared" si="65"/>
        <v>3.1838671411625148</v>
      </c>
      <c r="BK21" s="372">
        <f t="shared" si="65"/>
        <v>0.9499406880189798</v>
      </c>
      <c r="BL21" s="372">
        <f t="shared" si="65"/>
        <v>0.67852906287069992</v>
      </c>
      <c r="BM21" s="372">
        <f t="shared" si="65"/>
        <v>0.34448398576512457</v>
      </c>
      <c r="BN21" s="372">
        <f t="shared" si="66"/>
        <v>0.61937524713325431</v>
      </c>
      <c r="BO21" s="372">
        <f t="shared" si="66"/>
        <v>0</v>
      </c>
      <c r="BP21" s="372">
        <f t="shared" si="66"/>
        <v>0</v>
      </c>
      <c r="BT21" s="260">
        <f>SUM(BU21:CM21)</f>
        <v>5419</v>
      </c>
      <c r="BU21" s="261">
        <f t="shared" ref="BU21:CM21" si="72">SUM(BU17:BU20)</f>
        <v>672</v>
      </c>
      <c r="BV21" s="261">
        <f t="shared" si="72"/>
        <v>98</v>
      </c>
      <c r="BW21" s="261">
        <f t="shared" si="72"/>
        <v>1568</v>
      </c>
      <c r="BX21" s="261">
        <f t="shared" si="72"/>
        <v>0</v>
      </c>
      <c r="BY21" s="261">
        <f t="shared" si="72"/>
        <v>0</v>
      </c>
      <c r="BZ21" s="261">
        <f t="shared" si="72"/>
        <v>0</v>
      </c>
      <c r="CA21" s="261">
        <f t="shared" si="72"/>
        <v>0</v>
      </c>
      <c r="CB21" s="261">
        <f t="shared" si="72"/>
        <v>316</v>
      </c>
      <c r="CC21" s="261">
        <f t="shared" si="72"/>
        <v>32</v>
      </c>
      <c r="CD21" s="261">
        <f t="shared" si="72"/>
        <v>243</v>
      </c>
      <c r="CE21" s="261">
        <f t="shared" si="72"/>
        <v>366</v>
      </c>
      <c r="CF21" s="261">
        <f t="shared" si="72"/>
        <v>40</v>
      </c>
      <c r="CG21" s="261">
        <f t="shared" si="72"/>
        <v>1220</v>
      </c>
      <c r="CH21" s="261">
        <f t="shared" si="72"/>
        <v>182</v>
      </c>
      <c r="CI21" s="261">
        <f t="shared" si="72"/>
        <v>260</v>
      </c>
      <c r="CJ21" s="261">
        <f t="shared" si="72"/>
        <v>66</v>
      </c>
      <c r="CK21" s="261">
        <f t="shared" si="72"/>
        <v>356</v>
      </c>
      <c r="CL21" s="261">
        <f t="shared" si="72"/>
        <v>0</v>
      </c>
      <c r="CM21" s="261">
        <f t="shared" si="72"/>
        <v>0</v>
      </c>
    </row>
    <row r="22" spans="1:91" s="228" customFormat="1" ht="6" customHeight="1" x14ac:dyDescent="0.25">
      <c r="A22" s="263"/>
      <c r="B22" s="264"/>
      <c r="C22" s="265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5"/>
      <c r="X22" s="263"/>
      <c r="Y22" s="264"/>
      <c r="Z22" s="265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70"/>
      <c r="AU22" s="263"/>
      <c r="AV22" s="264"/>
      <c r="AW22" s="265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5"/>
      <c r="BR22" s="263"/>
      <c r="BS22" s="264"/>
      <c r="BT22" s="265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5"/>
    </row>
    <row r="23" spans="1:91" x14ac:dyDescent="0.25"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</row>
    <row r="24" spans="1:91" s="228" customFormat="1" x14ac:dyDescent="0.25">
      <c r="A24" s="228" t="s">
        <v>363</v>
      </c>
      <c r="D24" s="229" t="str">
        <f>D16</f>
        <v>1x</v>
      </c>
      <c r="E24" s="229" t="str">
        <f t="shared" ref="E24:V24" si="73">E16</f>
        <v>2x</v>
      </c>
      <c r="F24" s="229" t="str">
        <f t="shared" si="73"/>
        <v>4x+</v>
      </c>
      <c r="G24" s="229" t="str">
        <f t="shared" si="73"/>
        <v>4x</v>
      </c>
      <c r="H24" s="229" t="str">
        <f t="shared" si="73"/>
        <v>2-</v>
      </c>
      <c r="I24" s="229" t="str">
        <f t="shared" si="73"/>
        <v>2+</v>
      </c>
      <c r="J24" s="229" t="str">
        <f t="shared" si="73"/>
        <v>4-</v>
      </c>
      <c r="K24" s="229" t="str">
        <f t="shared" si="73"/>
        <v>4+</v>
      </c>
      <c r="L24" s="229" t="str">
        <f t="shared" si="73"/>
        <v>8+</v>
      </c>
      <c r="M24" s="229" t="str">
        <f t="shared" si="73"/>
        <v>C1x</v>
      </c>
      <c r="N24" s="229" t="str">
        <f t="shared" si="73"/>
        <v>C2x</v>
      </c>
      <c r="O24" s="229" t="str">
        <f t="shared" si="73"/>
        <v>C2x+</v>
      </c>
      <c r="P24" s="229" t="str">
        <f t="shared" si="73"/>
        <v>C4x+</v>
      </c>
      <c r="Q24" s="229" t="str">
        <f t="shared" si="73"/>
        <v>C2+</v>
      </c>
      <c r="R24" s="229" t="str">
        <f t="shared" si="73"/>
        <v>C4+</v>
      </c>
      <c r="S24" s="229" t="str">
        <f t="shared" si="73"/>
        <v>W1x+</v>
      </c>
      <c r="T24" s="229" t="str">
        <f t="shared" si="73"/>
        <v>W2x+</v>
      </c>
      <c r="U24" s="229" t="str">
        <f t="shared" si="73"/>
        <v>W2+</v>
      </c>
      <c r="V24" s="229" t="str">
        <f t="shared" si="73"/>
        <v>W4+</v>
      </c>
      <c r="X24" s="228" t="s">
        <v>363</v>
      </c>
      <c r="AA24" s="368" t="str">
        <f>AA16</f>
        <v>1x</v>
      </c>
      <c r="AB24" s="368" t="str">
        <f t="shared" ref="AB24:AS24" si="74">AB16</f>
        <v>2x</v>
      </c>
      <c r="AC24" s="368" t="str">
        <f t="shared" si="74"/>
        <v>4x+</v>
      </c>
      <c r="AD24" s="368" t="str">
        <f t="shared" si="74"/>
        <v>4x</v>
      </c>
      <c r="AE24" s="368" t="str">
        <f t="shared" si="74"/>
        <v>2-</v>
      </c>
      <c r="AF24" s="368" t="str">
        <f t="shared" si="74"/>
        <v>2+</v>
      </c>
      <c r="AG24" s="368" t="str">
        <f t="shared" si="74"/>
        <v>4-</v>
      </c>
      <c r="AH24" s="368" t="str">
        <f t="shared" si="74"/>
        <v>4+</v>
      </c>
      <c r="AI24" s="368" t="str">
        <f t="shared" si="74"/>
        <v>8+</v>
      </c>
      <c r="AJ24" s="368" t="str">
        <f t="shared" si="74"/>
        <v>C1x</v>
      </c>
      <c r="AK24" s="368" t="str">
        <f t="shared" si="74"/>
        <v>C2x</v>
      </c>
      <c r="AL24" s="368" t="str">
        <f t="shared" si="74"/>
        <v>C2x+</v>
      </c>
      <c r="AM24" s="368" t="str">
        <f t="shared" si="74"/>
        <v>C4x+</v>
      </c>
      <c r="AN24" s="368" t="str">
        <f t="shared" si="74"/>
        <v>C2+</v>
      </c>
      <c r="AO24" s="368" t="str">
        <f t="shared" si="74"/>
        <v>C4+</v>
      </c>
      <c r="AP24" s="368" t="str">
        <f t="shared" si="74"/>
        <v>W1x+</v>
      </c>
      <c r="AQ24" s="368" t="str">
        <f t="shared" si="74"/>
        <v>W2x+</v>
      </c>
      <c r="AR24" s="368" t="str">
        <f t="shared" si="74"/>
        <v>W2+</v>
      </c>
      <c r="AS24" s="368" t="str">
        <f t="shared" si="74"/>
        <v>W4+</v>
      </c>
      <c r="AU24" s="228" t="s">
        <v>363</v>
      </c>
      <c r="AX24" s="229" t="str">
        <f>AX16</f>
        <v>1x</v>
      </c>
      <c r="AY24" s="229" t="str">
        <f t="shared" ref="AY24:BP24" si="75">AY16</f>
        <v>2x</v>
      </c>
      <c r="AZ24" s="229" t="str">
        <f t="shared" si="75"/>
        <v>4x+</v>
      </c>
      <c r="BA24" s="229" t="str">
        <f t="shared" si="75"/>
        <v>4x</v>
      </c>
      <c r="BB24" s="229" t="str">
        <f t="shared" si="75"/>
        <v>2-</v>
      </c>
      <c r="BC24" s="229" t="str">
        <f t="shared" si="75"/>
        <v>2+</v>
      </c>
      <c r="BD24" s="229" t="str">
        <f t="shared" si="75"/>
        <v>4-</v>
      </c>
      <c r="BE24" s="229" t="str">
        <f t="shared" si="75"/>
        <v>4+</v>
      </c>
      <c r="BF24" s="229" t="str">
        <f t="shared" si="75"/>
        <v>8+</v>
      </c>
      <c r="BG24" s="229" t="str">
        <f t="shared" si="75"/>
        <v>C1x</v>
      </c>
      <c r="BH24" s="229" t="str">
        <f t="shared" si="75"/>
        <v>C2x</v>
      </c>
      <c r="BI24" s="229" t="str">
        <f t="shared" si="75"/>
        <v>C2x+</v>
      </c>
      <c r="BJ24" s="229" t="str">
        <f t="shared" si="75"/>
        <v>C4x+</v>
      </c>
      <c r="BK24" s="229" t="str">
        <f t="shared" si="75"/>
        <v>C2+</v>
      </c>
      <c r="BL24" s="229" t="str">
        <f t="shared" si="75"/>
        <v>C4+</v>
      </c>
      <c r="BM24" s="229" t="str">
        <f t="shared" si="75"/>
        <v>W1x+</v>
      </c>
      <c r="BN24" s="229" t="str">
        <f t="shared" si="75"/>
        <v>W2x+</v>
      </c>
      <c r="BO24" s="229" t="str">
        <f t="shared" si="75"/>
        <v>W2+</v>
      </c>
      <c r="BP24" s="229" t="str">
        <f t="shared" si="75"/>
        <v>W4+</v>
      </c>
      <c r="BR24" s="228" t="s">
        <v>363</v>
      </c>
      <c r="BU24" s="229" t="str">
        <f>BU16</f>
        <v>1x</v>
      </c>
      <c r="BV24" s="229" t="str">
        <f t="shared" ref="BV24:CM24" si="76">BV16</f>
        <v>2x</v>
      </c>
      <c r="BW24" s="229" t="str">
        <f t="shared" si="76"/>
        <v>4x+</v>
      </c>
      <c r="BX24" s="229" t="str">
        <f t="shared" si="76"/>
        <v>4x</v>
      </c>
      <c r="BY24" s="229" t="str">
        <f t="shared" si="76"/>
        <v>2-</v>
      </c>
      <c r="BZ24" s="229" t="str">
        <f t="shared" si="76"/>
        <v>2+</v>
      </c>
      <c r="CA24" s="229" t="str">
        <f t="shared" si="76"/>
        <v>4-</v>
      </c>
      <c r="CB24" s="229" t="str">
        <f t="shared" si="76"/>
        <v>4+</v>
      </c>
      <c r="CC24" s="229" t="str">
        <f t="shared" si="76"/>
        <v>8+</v>
      </c>
      <c r="CD24" s="229" t="str">
        <f t="shared" si="76"/>
        <v>C1x</v>
      </c>
      <c r="CE24" s="229" t="str">
        <f t="shared" si="76"/>
        <v>C2x</v>
      </c>
      <c r="CF24" s="229" t="str">
        <f t="shared" si="76"/>
        <v>C2x+</v>
      </c>
      <c r="CG24" s="229" t="str">
        <f t="shared" si="76"/>
        <v>C4x+</v>
      </c>
      <c r="CH24" s="229" t="str">
        <f t="shared" si="76"/>
        <v>C2+</v>
      </c>
      <c r="CI24" s="229" t="str">
        <f t="shared" si="76"/>
        <v>C4+</v>
      </c>
      <c r="CJ24" s="229" t="str">
        <f t="shared" si="76"/>
        <v>W1x+</v>
      </c>
      <c r="CK24" s="229" t="str">
        <f t="shared" si="76"/>
        <v>W2x+</v>
      </c>
      <c r="CL24" s="229" t="str">
        <f t="shared" si="76"/>
        <v>W2+</v>
      </c>
      <c r="CM24" s="229" t="str">
        <f t="shared" si="76"/>
        <v>W4+</v>
      </c>
    </row>
    <row r="25" spans="1:91" x14ac:dyDescent="0.25">
      <c r="A25" s="228" t="s">
        <v>296</v>
      </c>
      <c r="B25" s="241" t="str">
        <f>B17</f>
        <v>Zeer zwaar</v>
      </c>
      <c r="C25" s="241" t="str">
        <f>C17</f>
        <v>86-95+</v>
      </c>
      <c r="D25" s="232">
        <f>D5+D11+D17</f>
        <v>2</v>
      </c>
      <c r="E25" s="233">
        <f t="shared" ref="E25:L25" si="77">E5+E11+E17</f>
        <v>0</v>
      </c>
      <c r="F25" s="233">
        <f t="shared" si="77"/>
        <v>0</v>
      </c>
      <c r="G25" s="234">
        <f t="shared" si="77"/>
        <v>0</v>
      </c>
      <c r="H25" s="232">
        <f t="shared" si="77"/>
        <v>1</v>
      </c>
      <c r="I25" s="233">
        <f t="shared" si="77"/>
        <v>0</v>
      </c>
      <c r="J25" s="233">
        <f t="shared" si="77"/>
        <v>0</v>
      </c>
      <c r="K25" s="233">
        <f t="shared" si="77"/>
        <v>0</v>
      </c>
      <c r="L25" s="235">
        <f t="shared" si="77"/>
        <v>0</v>
      </c>
      <c r="M25" s="532">
        <f>M5+M11+M17</f>
        <v>5</v>
      </c>
      <c r="N25" s="535">
        <f t="shared" ref="N25:V25" si="78">N5+N11+N17</f>
        <v>2</v>
      </c>
      <c r="O25" s="535">
        <f t="shared" si="78"/>
        <v>2</v>
      </c>
      <c r="P25" s="535">
        <f t="shared" si="78"/>
        <v>3</v>
      </c>
      <c r="Q25" s="520">
        <f t="shared" si="78"/>
        <v>1</v>
      </c>
      <c r="R25" s="538">
        <f t="shared" si="78"/>
        <v>2</v>
      </c>
      <c r="S25" s="520">
        <f t="shared" si="78"/>
        <v>1</v>
      </c>
      <c r="T25" s="523">
        <f t="shared" si="78"/>
        <v>5</v>
      </c>
      <c r="U25" s="526">
        <f t="shared" si="78"/>
        <v>0</v>
      </c>
      <c r="V25" s="529">
        <f t="shared" si="78"/>
        <v>0</v>
      </c>
      <c r="W25" s="236"/>
      <c r="X25" s="228" t="s">
        <v>296</v>
      </c>
      <c r="Y25" s="241" t="str">
        <f>Y17</f>
        <v>Zeer zwaar</v>
      </c>
      <c r="Z25" s="241" t="str">
        <f>Z17</f>
        <v>86-95+</v>
      </c>
      <c r="AA25" s="355">
        <f>AA5+AA11+AA17</f>
        <v>-0.80478087649402397</v>
      </c>
      <c r="AB25" s="356">
        <f t="shared" ref="AB25:AI25" si="79">AB5+AB11+AB17</f>
        <v>0</v>
      </c>
      <c r="AC25" s="356">
        <f t="shared" si="79"/>
        <v>0</v>
      </c>
      <c r="AD25" s="357">
        <f t="shared" si="79"/>
        <v>0</v>
      </c>
      <c r="AE25" s="355">
        <f t="shared" si="79"/>
        <v>-0.15139442231075706</v>
      </c>
      <c r="AF25" s="356">
        <f t="shared" si="79"/>
        <v>0</v>
      </c>
      <c r="AG25" s="356">
        <f t="shared" si="79"/>
        <v>0</v>
      </c>
      <c r="AH25" s="356">
        <f t="shared" si="79"/>
        <v>0</v>
      </c>
      <c r="AI25" s="358">
        <f t="shared" si="79"/>
        <v>0</v>
      </c>
      <c r="AJ25" s="577">
        <f>AJ5+AJ11+AJ17</f>
        <v>-2.0956175298804784</v>
      </c>
      <c r="AK25" s="565">
        <f t="shared" ref="AK25:AS25" si="80">AK5+AK11+AK17</f>
        <v>0.18725099601593609</v>
      </c>
      <c r="AL25" s="565">
        <f t="shared" si="80"/>
        <v>7.9681274900398336E-3</v>
      </c>
      <c r="AM25" s="565">
        <f t="shared" si="80"/>
        <v>3.0358565737051788</v>
      </c>
      <c r="AN25" s="568">
        <f t="shared" si="80"/>
        <v>8.7649402390438169E-2</v>
      </c>
      <c r="AO25" s="571">
        <f t="shared" si="80"/>
        <v>-1.2231075697211156</v>
      </c>
      <c r="AP25" s="568">
        <f t="shared" si="80"/>
        <v>-0.21115537848605581</v>
      </c>
      <c r="AQ25" s="574">
        <f t="shared" si="80"/>
        <v>-0.45816733067729087</v>
      </c>
      <c r="AR25" s="556">
        <f t="shared" si="80"/>
        <v>0</v>
      </c>
      <c r="AS25" s="559">
        <f t="shared" si="80"/>
        <v>0</v>
      </c>
      <c r="AU25" s="228" t="s">
        <v>296</v>
      </c>
      <c r="AV25" s="241" t="str">
        <f>AV17</f>
        <v>Zeer zwaar</v>
      </c>
      <c r="AW25" s="241" t="str">
        <f>AW17</f>
        <v>86-95+</v>
      </c>
      <c r="AX25" s="237">
        <f t="shared" ref="AX25:BM29" si="81">IF(OR(D25=0,$AW$29=0),0,(BU25/D25)/$AW$29)</f>
        <v>0.26097271648873072</v>
      </c>
      <c r="AY25" s="238">
        <f t="shared" si="81"/>
        <v>0</v>
      </c>
      <c r="AZ25" s="238">
        <f t="shared" si="81"/>
        <v>0</v>
      </c>
      <c r="BA25" s="239">
        <f t="shared" si="81"/>
        <v>0</v>
      </c>
      <c r="BB25" s="237">
        <f t="shared" si="81"/>
        <v>0.74116251482799522</v>
      </c>
      <c r="BC25" s="238">
        <f t="shared" si="81"/>
        <v>0</v>
      </c>
      <c r="BD25" s="238">
        <f t="shared" si="81"/>
        <v>0</v>
      </c>
      <c r="BE25" s="238">
        <f t="shared" si="81"/>
        <v>0</v>
      </c>
      <c r="BF25" s="240">
        <f t="shared" si="81"/>
        <v>0</v>
      </c>
      <c r="BG25" s="541">
        <f t="shared" si="81"/>
        <v>0.25366548042704629</v>
      </c>
      <c r="BH25" s="562">
        <f t="shared" si="81"/>
        <v>0.95516014234875446</v>
      </c>
      <c r="BI25" s="562">
        <f t="shared" si="81"/>
        <v>0.87686832740213527</v>
      </c>
      <c r="BJ25" s="544">
        <f t="shared" si="81"/>
        <v>3.5144325820482405</v>
      </c>
      <c r="BK25" s="541">
        <f t="shared" si="81"/>
        <v>0.9499406880189798</v>
      </c>
      <c r="BL25" s="544">
        <f t="shared" si="81"/>
        <v>0.67852906287069992</v>
      </c>
      <c r="BM25" s="541">
        <f t="shared" si="81"/>
        <v>0.34448398576512457</v>
      </c>
      <c r="BN25" s="547">
        <f t="shared" ref="BN25:BP29" si="82">IF(OR(T25=0,$AW$29=0),0,(CK25/T25)/$AW$29)</f>
        <v>0.79335705812574142</v>
      </c>
      <c r="BO25" s="550">
        <f t="shared" si="82"/>
        <v>0</v>
      </c>
      <c r="BP25" s="553">
        <f t="shared" si="82"/>
        <v>0</v>
      </c>
      <c r="BQ25" s="267"/>
      <c r="BR25" s="228" t="s">
        <v>296</v>
      </c>
      <c r="BS25" s="241" t="str">
        <f>BS17</f>
        <v>Zeer zwaar</v>
      </c>
      <c r="BT25" s="241" t="str">
        <f>BT17</f>
        <v>86-95+</v>
      </c>
      <c r="BU25" s="232">
        <f>BU5+BU11+BU17</f>
        <v>100</v>
      </c>
      <c r="BV25" s="233">
        <f t="shared" ref="BV25:CC25" si="83">BV5+BV11+BV17</f>
        <v>0</v>
      </c>
      <c r="BW25" s="233">
        <f t="shared" si="83"/>
        <v>0</v>
      </c>
      <c r="BX25" s="234">
        <f t="shared" si="83"/>
        <v>0</v>
      </c>
      <c r="BY25" s="232">
        <f t="shared" si="83"/>
        <v>142</v>
      </c>
      <c r="BZ25" s="233">
        <f t="shared" si="83"/>
        <v>0</v>
      </c>
      <c r="CA25" s="233">
        <f t="shared" si="83"/>
        <v>0</v>
      </c>
      <c r="CB25" s="233">
        <f t="shared" si="83"/>
        <v>0</v>
      </c>
      <c r="CC25" s="235">
        <f t="shared" si="83"/>
        <v>0</v>
      </c>
      <c r="CD25" s="532">
        <f>CD5+CD11+CD17</f>
        <v>243</v>
      </c>
      <c r="CE25" s="535">
        <f t="shared" ref="CE25:CM25" si="84">CE5+CE11+CE17</f>
        <v>366</v>
      </c>
      <c r="CF25" s="535">
        <f t="shared" si="84"/>
        <v>336</v>
      </c>
      <c r="CG25" s="535">
        <f t="shared" si="84"/>
        <v>2020</v>
      </c>
      <c r="CH25" s="520">
        <f t="shared" si="84"/>
        <v>182</v>
      </c>
      <c r="CI25" s="538">
        <f t="shared" si="84"/>
        <v>260</v>
      </c>
      <c r="CJ25" s="520">
        <f t="shared" si="84"/>
        <v>66</v>
      </c>
      <c r="CK25" s="523">
        <f t="shared" si="84"/>
        <v>760</v>
      </c>
      <c r="CL25" s="526">
        <f t="shared" si="84"/>
        <v>0</v>
      </c>
      <c r="CM25" s="529">
        <f t="shared" si="84"/>
        <v>0</v>
      </c>
    </row>
    <row r="26" spans="1:91" x14ac:dyDescent="0.25">
      <c r="A26" s="228" t="s">
        <v>262</v>
      </c>
      <c r="B26" s="241" t="str">
        <f t="shared" ref="B26:C28" si="85">B18</f>
        <v>Zwaar</v>
      </c>
      <c r="C26" s="241" t="str">
        <f t="shared" si="85"/>
        <v>76-85</v>
      </c>
      <c r="D26" s="242">
        <f t="shared" ref="D26:L28" si="86">D6+D12+D18</f>
        <v>6</v>
      </c>
      <c r="E26" s="243">
        <f t="shared" si="86"/>
        <v>3</v>
      </c>
      <c r="F26" s="243">
        <f t="shared" si="86"/>
        <v>4</v>
      </c>
      <c r="G26" s="244">
        <f t="shared" si="86"/>
        <v>0</v>
      </c>
      <c r="H26" s="242">
        <f t="shared" si="86"/>
        <v>0</v>
      </c>
      <c r="I26" s="243">
        <f t="shared" si="86"/>
        <v>0</v>
      </c>
      <c r="J26" s="243">
        <f t="shared" si="86"/>
        <v>0</v>
      </c>
      <c r="K26" s="243">
        <f t="shared" si="86"/>
        <v>2</v>
      </c>
      <c r="L26" s="245">
        <f t="shared" si="86"/>
        <v>2</v>
      </c>
      <c r="M26" s="533"/>
      <c r="N26" s="536"/>
      <c r="O26" s="536"/>
      <c r="P26" s="536"/>
      <c r="Q26" s="521"/>
      <c r="R26" s="539"/>
      <c r="S26" s="521"/>
      <c r="T26" s="524"/>
      <c r="U26" s="527"/>
      <c r="V26" s="530"/>
      <c r="W26" s="236"/>
      <c r="X26" s="228" t="s">
        <v>262</v>
      </c>
      <c r="Y26" s="241" t="str">
        <f t="shared" ref="Y26:Z28" si="87">Y18</f>
        <v>Zwaar</v>
      </c>
      <c r="Z26" s="241" t="str">
        <f t="shared" si="87"/>
        <v>76-85</v>
      </c>
      <c r="AA26" s="359">
        <f t="shared" ref="AA26:AI28" si="88">AA6+AA12+AA18</f>
        <v>3.549800796812749</v>
      </c>
      <c r="AB26" s="360">
        <f t="shared" si="88"/>
        <v>1.1474103585657369</v>
      </c>
      <c r="AC26" s="360">
        <f t="shared" si="88"/>
        <v>5.6573705179282863</v>
      </c>
      <c r="AD26" s="361">
        <f t="shared" si="88"/>
        <v>0</v>
      </c>
      <c r="AE26" s="359">
        <f t="shared" si="88"/>
        <v>0</v>
      </c>
      <c r="AF26" s="360">
        <f t="shared" si="88"/>
        <v>0</v>
      </c>
      <c r="AG26" s="360">
        <f t="shared" si="88"/>
        <v>0</v>
      </c>
      <c r="AH26" s="360">
        <f t="shared" si="88"/>
        <v>-0.42231075697211162</v>
      </c>
      <c r="AI26" s="362">
        <f t="shared" si="88"/>
        <v>-1.0796812749003983</v>
      </c>
      <c r="AJ26" s="578"/>
      <c r="AK26" s="566"/>
      <c r="AL26" s="566"/>
      <c r="AM26" s="566"/>
      <c r="AN26" s="569"/>
      <c r="AO26" s="572"/>
      <c r="AP26" s="569"/>
      <c r="AQ26" s="575"/>
      <c r="AR26" s="557"/>
      <c r="AS26" s="560"/>
      <c r="AU26" s="228" t="s">
        <v>262</v>
      </c>
      <c r="AV26" s="241" t="str">
        <f t="shared" ref="AV26:AW28" si="89">AV18</f>
        <v>Zwaar</v>
      </c>
      <c r="AW26" s="241" t="str">
        <f t="shared" si="89"/>
        <v>76-85</v>
      </c>
      <c r="AX26" s="246">
        <f t="shared" si="81"/>
        <v>0.69505733491498611</v>
      </c>
      <c r="AY26" s="247">
        <f t="shared" si="81"/>
        <v>1.2074337682878609</v>
      </c>
      <c r="AZ26" s="247">
        <f t="shared" si="81"/>
        <v>4.2173190984578888</v>
      </c>
      <c r="BA26" s="248">
        <f t="shared" si="81"/>
        <v>0</v>
      </c>
      <c r="BB26" s="246">
        <f t="shared" si="81"/>
        <v>0</v>
      </c>
      <c r="BC26" s="247">
        <f t="shared" si="81"/>
        <v>0</v>
      </c>
      <c r="BD26" s="247">
        <f t="shared" si="81"/>
        <v>0</v>
      </c>
      <c r="BE26" s="247">
        <f t="shared" si="81"/>
        <v>1.3779359430604983</v>
      </c>
      <c r="BF26" s="249">
        <f t="shared" si="81"/>
        <v>1.6075919335705813</v>
      </c>
      <c r="BG26" s="542">
        <f t="shared" si="81"/>
        <v>0</v>
      </c>
      <c r="BH26" s="563">
        <f t="shared" si="81"/>
        <v>0</v>
      </c>
      <c r="BI26" s="563">
        <f t="shared" si="81"/>
        <v>0</v>
      </c>
      <c r="BJ26" s="545">
        <f t="shared" si="81"/>
        <v>0</v>
      </c>
      <c r="BK26" s="542">
        <f t="shared" si="81"/>
        <v>0</v>
      </c>
      <c r="BL26" s="545">
        <f t="shared" si="81"/>
        <v>0</v>
      </c>
      <c r="BM26" s="542">
        <f t="shared" si="81"/>
        <v>0</v>
      </c>
      <c r="BN26" s="548">
        <f t="shared" si="82"/>
        <v>0</v>
      </c>
      <c r="BO26" s="551">
        <f t="shared" si="82"/>
        <v>0</v>
      </c>
      <c r="BP26" s="554">
        <f t="shared" si="82"/>
        <v>0</v>
      </c>
      <c r="BQ26" s="267"/>
      <c r="BR26" s="228" t="s">
        <v>262</v>
      </c>
      <c r="BS26" s="241" t="str">
        <f t="shared" ref="BS26:BT28" si="90">BS18</f>
        <v>Zwaar</v>
      </c>
      <c r="BT26" s="241" t="str">
        <f t="shared" si="90"/>
        <v>76-85</v>
      </c>
      <c r="BU26" s="242">
        <f t="shared" ref="BU26:CC28" si="91">BU6+BU12+BU18</f>
        <v>799</v>
      </c>
      <c r="BV26" s="243">
        <f t="shared" si="91"/>
        <v>694</v>
      </c>
      <c r="BW26" s="243">
        <f t="shared" si="91"/>
        <v>3232</v>
      </c>
      <c r="BX26" s="244">
        <f t="shared" si="91"/>
        <v>0</v>
      </c>
      <c r="BY26" s="242">
        <f t="shared" si="91"/>
        <v>0</v>
      </c>
      <c r="BZ26" s="243">
        <f t="shared" si="91"/>
        <v>0</v>
      </c>
      <c r="CA26" s="243">
        <f t="shared" si="91"/>
        <v>0</v>
      </c>
      <c r="CB26" s="243">
        <f t="shared" si="91"/>
        <v>528</v>
      </c>
      <c r="CC26" s="245">
        <f t="shared" si="91"/>
        <v>616</v>
      </c>
      <c r="CD26" s="533"/>
      <c r="CE26" s="536"/>
      <c r="CF26" s="536"/>
      <c r="CG26" s="536"/>
      <c r="CH26" s="521"/>
      <c r="CI26" s="539"/>
      <c r="CJ26" s="521"/>
      <c r="CK26" s="524"/>
      <c r="CL26" s="527"/>
      <c r="CM26" s="530"/>
    </row>
    <row r="27" spans="1:91" x14ac:dyDescent="0.25">
      <c r="A27" s="228" t="s">
        <v>237</v>
      </c>
      <c r="B27" s="241" t="str">
        <f t="shared" si="85"/>
        <v>Middel</v>
      </c>
      <c r="C27" s="241" t="str">
        <f t="shared" si="85"/>
        <v>66-75</v>
      </c>
      <c r="D27" s="242">
        <f t="shared" si="86"/>
        <v>7</v>
      </c>
      <c r="E27" s="243">
        <f t="shared" si="86"/>
        <v>3</v>
      </c>
      <c r="F27" s="243">
        <f t="shared" si="86"/>
        <v>2</v>
      </c>
      <c r="G27" s="244">
        <f t="shared" si="86"/>
        <v>0</v>
      </c>
      <c r="H27" s="242">
        <f t="shared" si="86"/>
        <v>0</v>
      </c>
      <c r="I27" s="243">
        <f t="shared" si="86"/>
        <v>0</v>
      </c>
      <c r="J27" s="243">
        <f t="shared" si="86"/>
        <v>0</v>
      </c>
      <c r="K27" s="243">
        <f t="shared" si="86"/>
        <v>0</v>
      </c>
      <c r="L27" s="245">
        <f t="shared" si="86"/>
        <v>0</v>
      </c>
      <c r="M27" s="533"/>
      <c r="N27" s="536"/>
      <c r="O27" s="536"/>
      <c r="P27" s="536"/>
      <c r="Q27" s="521"/>
      <c r="R27" s="539"/>
      <c r="S27" s="521"/>
      <c r="T27" s="524"/>
      <c r="U27" s="527"/>
      <c r="V27" s="530"/>
      <c r="W27" s="236"/>
      <c r="X27" s="228" t="s">
        <v>237</v>
      </c>
      <c r="Y27" s="241" t="str">
        <f t="shared" si="87"/>
        <v>Middel</v>
      </c>
      <c r="Z27" s="241" t="str">
        <f t="shared" si="87"/>
        <v>66-75</v>
      </c>
      <c r="AA27" s="359">
        <f t="shared" si="88"/>
        <v>-1.1912350597609567</v>
      </c>
      <c r="AB27" s="360">
        <f t="shared" si="88"/>
        <v>1.1713147410358562</v>
      </c>
      <c r="AC27" s="360">
        <f t="shared" si="88"/>
        <v>-0.52988047808764949</v>
      </c>
      <c r="AD27" s="361">
        <f t="shared" si="88"/>
        <v>0</v>
      </c>
      <c r="AE27" s="359">
        <f t="shared" si="88"/>
        <v>0</v>
      </c>
      <c r="AF27" s="360">
        <f t="shared" si="88"/>
        <v>0</v>
      </c>
      <c r="AG27" s="360">
        <f t="shared" si="88"/>
        <v>0</v>
      </c>
      <c r="AH27" s="360">
        <f t="shared" si="88"/>
        <v>0</v>
      </c>
      <c r="AI27" s="362">
        <f t="shared" si="88"/>
        <v>0</v>
      </c>
      <c r="AJ27" s="578"/>
      <c r="AK27" s="566"/>
      <c r="AL27" s="566"/>
      <c r="AM27" s="566"/>
      <c r="AN27" s="569"/>
      <c r="AO27" s="572"/>
      <c r="AP27" s="569"/>
      <c r="AQ27" s="575"/>
      <c r="AR27" s="557"/>
      <c r="AS27" s="560"/>
      <c r="AU27" s="228" t="s">
        <v>237</v>
      </c>
      <c r="AV27" s="241" t="str">
        <f t="shared" si="89"/>
        <v>Middel</v>
      </c>
      <c r="AW27" s="241" t="str">
        <f t="shared" si="89"/>
        <v>66-75</v>
      </c>
      <c r="AX27" s="246">
        <f t="shared" si="81"/>
        <v>0.36237925775292323</v>
      </c>
      <c r="AY27" s="247">
        <f t="shared" si="81"/>
        <v>1.2143930407275603</v>
      </c>
      <c r="AZ27" s="247">
        <f t="shared" si="81"/>
        <v>1.2839857651245552</v>
      </c>
      <c r="BA27" s="248">
        <f t="shared" si="81"/>
        <v>0</v>
      </c>
      <c r="BB27" s="246">
        <f t="shared" si="81"/>
        <v>0</v>
      </c>
      <c r="BC27" s="247">
        <f t="shared" si="81"/>
        <v>0</v>
      </c>
      <c r="BD27" s="247">
        <f t="shared" si="81"/>
        <v>0</v>
      </c>
      <c r="BE27" s="247">
        <f t="shared" si="81"/>
        <v>0</v>
      </c>
      <c r="BF27" s="249">
        <f t="shared" si="81"/>
        <v>0</v>
      </c>
      <c r="BG27" s="542">
        <f t="shared" si="81"/>
        <v>0</v>
      </c>
      <c r="BH27" s="563">
        <f t="shared" si="81"/>
        <v>0</v>
      </c>
      <c r="BI27" s="563">
        <f t="shared" si="81"/>
        <v>0</v>
      </c>
      <c r="BJ27" s="545">
        <f t="shared" si="81"/>
        <v>0</v>
      </c>
      <c r="BK27" s="542">
        <f t="shared" si="81"/>
        <v>0</v>
      </c>
      <c r="BL27" s="545">
        <f t="shared" si="81"/>
        <v>0</v>
      </c>
      <c r="BM27" s="542">
        <f t="shared" si="81"/>
        <v>0</v>
      </c>
      <c r="BN27" s="548">
        <f t="shared" si="82"/>
        <v>0</v>
      </c>
      <c r="BO27" s="551">
        <f t="shared" si="82"/>
        <v>0</v>
      </c>
      <c r="BP27" s="554">
        <f t="shared" si="82"/>
        <v>0</v>
      </c>
      <c r="BQ27" s="267"/>
      <c r="BR27" s="228" t="s">
        <v>237</v>
      </c>
      <c r="BS27" s="241" t="str">
        <f t="shared" si="90"/>
        <v>Middel</v>
      </c>
      <c r="BT27" s="241" t="str">
        <f t="shared" si="90"/>
        <v>66-75</v>
      </c>
      <c r="BU27" s="242">
        <f t="shared" si="91"/>
        <v>486</v>
      </c>
      <c r="BV27" s="243">
        <f t="shared" si="91"/>
        <v>698</v>
      </c>
      <c r="BW27" s="243">
        <f t="shared" si="91"/>
        <v>492</v>
      </c>
      <c r="BX27" s="244">
        <f t="shared" si="91"/>
        <v>0</v>
      </c>
      <c r="BY27" s="242">
        <f t="shared" si="91"/>
        <v>0</v>
      </c>
      <c r="BZ27" s="243">
        <f t="shared" si="91"/>
        <v>0</v>
      </c>
      <c r="CA27" s="243">
        <f t="shared" si="91"/>
        <v>0</v>
      </c>
      <c r="CB27" s="243">
        <f t="shared" si="91"/>
        <v>0</v>
      </c>
      <c r="CC27" s="245">
        <f t="shared" si="91"/>
        <v>0</v>
      </c>
      <c r="CD27" s="533"/>
      <c r="CE27" s="536"/>
      <c r="CF27" s="536"/>
      <c r="CG27" s="536"/>
      <c r="CH27" s="521"/>
      <c r="CI27" s="539"/>
      <c r="CJ27" s="521"/>
      <c r="CK27" s="524"/>
      <c r="CL27" s="527"/>
      <c r="CM27" s="530"/>
    </row>
    <row r="28" spans="1:91" x14ac:dyDescent="0.25">
      <c r="A28" s="228" t="s">
        <v>230</v>
      </c>
      <c r="B28" s="241" t="str">
        <f t="shared" si="85"/>
        <v>Licht</v>
      </c>
      <c r="C28" s="241" t="str">
        <f t="shared" si="85"/>
        <v>55-65</v>
      </c>
      <c r="D28" s="250">
        <f t="shared" si="86"/>
        <v>10</v>
      </c>
      <c r="E28" s="251">
        <f t="shared" si="86"/>
        <v>3</v>
      </c>
      <c r="F28" s="251">
        <f t="shared" si="86"/>
        <v>0</v>
      </c>
      <c r="G28" s="252">
        <f t="shared" si="86"/>
        <v>0</v>
      </c>
      <c r="H28" s="250">
        <f t="shared" si="86"/>
        <v>0</v>
      </c>
      <c r="I28" s="251">
        <f t="shared" si="86"/>
        <v>0</v>
      </c>
      <c r="J28" s="251">
        <f t="shared" si="86"/>
        <v>0</v>
      </c>
      <c r="K28" s="251">
        <f t="shared" si="86"/>
        <v>0</v>
      </c>
      <c r="L28" s="253">
        <f t="shared" si="86"/>
        <v>0</v>
      </c>
      <c r="M28" s="534"/>
      <c r="N28" s="537"/>
      <c r="O28" s="537"/>
      <c r="P28" s="537"/>
      <c r="Q28" s="522"/>
      <c r="R28" s="540"/>
      <c r="S28" s="522"/>
      <c r="T28" s="525"/>
      <c r="U28" s="528"/>
      <c r="V28" s="531"/>
      <c r="W28" s="236"/>
      <c r="X28" s="228" t="s">
        <v>230</v>
      </c>
      <c r="Y28" s="241" t="str">
        <f t="shared" si="87"/>
        <v>Licht</v>
      </c>
      <c r="Z28" s="241" t="str">
        <f t="shared" si="87"/>
        <v>55-65</v>
      </c>
      <c r="AA28" s="363">
        <f t="shared" si="88"/>
        <v>-4.8247011952191237</v>
      </c>
      <c r="AB28" s="364">
        <f t="shared" si="88"/>
        <v>-1.8525896414342631</v>
      </c>
      <c r="AC28" s="364">
        <f t="shared" si="88"/>
        <v>0</v>
      </c>
      <c r="AD28" s="365">
        <f t="shared" si="88"/>
        <v>0</v>
      </c>
      <c r="AE28" s="363">
        <f t="shared" si="88"/>
        <v>0</v>
      </c>
      <c r="AF28" s="364">
        <f t="shared" si="88"/>
        <v>0</v>
      </c>
      <c r="AG28" s="364">
        <f t="shared" si="88"/>
        <v>0</v>
      </c>
      <c r="AH28" s="364">
        <f t="shared" si="88"/>
        <v>0</v>
      </c>
      <c r="AI28" s="366">
        <f t="shared" si="88"/>
        <v>0</v>
      </c>
      <c r="AJ28" s="579"/>
      <c r="AK28" s="567"/>
      <c r="AL28" s="567"/>
      <c r="AM28" s="567"/>
      <c r="AN28" s="570"/>
      <c r="AO28" s="573"/>
      <c r="AP28" s="570"/>
      <c r="AQ28" s="576"/>
      <c r="AR28" s="558"/>
      <c r="AS28" s="561"/>
      <c r="AU28" s="228" t="s">
        <v>230</v>
      </c>
      <c r="AV28" s="241" t="str">
        <f t="shared" si="89"/>
        <v>Licht</v>
      </c>
      <c r="AW28" s="241" t="str">
        <f t="shared" si="89"/>
        <v>55-65</v>
      </c>
      <c r="AX28" s="254">
        <f t="shared" si="81"/>
        <v>0.22600237247924079</v>
      </c>
      <c r="AY28" s="255">
        <f t="shared" si="81"/>
        <v>0.33404507710557529</v>
      </c>
      <c r="AZ28" s="255">
        <f t="shared" si="81"/>
        <v>0</v>
      </c>
      <c r="BA28" s="256">
        <f t="shared" si="81"/>
        <v>0</v>
      </c>
      <c r="BB28" s="254">
        <f t="shared" si="81"/>
        <v>0</v>
      </c>
      <c r="BC28" s="255">
        <f t="shared" si="81"/>
        <v>0</v>
      </c>
      <c r="BD28" s="255">
        <f t="shared" si="81"/>
        <v>0</v>
      </c>
      <c r="BE28" s="255">
        <f t="shared" si="81"/>
        <v>0</v>
      </c>
      <c r="BF28" s="257">
        <f t="shared" si="81"/>
        <v>0</v>
      </c>
      <c r="BG28" s="543">
        <f t="shared" si="81"/>
        <v>0</v>
      </c>
      <c r="BH28" s="564">
        <f t="shared" si="81"/>
        <v>0</v>
      </c>
      <c r="BI28" s="564">
        <f t="shared" si="81"/>
        <v>0</v>
      </c>
      <c r="BJ28" s="546">
        <f t="shared" si="81"/>
        <v>0</v>
      </c>
      <c r="BK28" s="543">
        <f t="shared" si="81"/>
        <v>0</v>
      </c>
      <c r="BL28" s="546">
        <f t="shared" si="81"/>
        <v>0</v>
      </c>
      <c r="BM28" s="543">
        <f t="shared" si="81"/>
        <v>0</v>
      </c>
      <c r="BN28" s="549">
        <f t="shared" si="82"/>
        <v>0</v>
      </c>
      <c r="BO28" s="552">
        <f t="shared" si="82"/>
        <v>0</v>
      </c>
      <c r="BP28" s="555">
        <f t="shared" si="82"/>
        <v>0</v>
      </c>
      <c r="BQ28" s="267"/>
      <c r="BR28" s="228" t="s">
        <v>230</v>
      </c>
      <c r="BS28" s="241" t="str">
        <f t="shared" si="90"/>
        <v>Licht</v>
      </c>
      <c r="BT28" s="241" t="str">
        <f t="shared" si="90"/>
        <v>55-65</v>
      </c>
      <c r="BU28" s="250">
        <f t="shared" si="91"/>
        <v>433</v>
      </c>
      <c r="BV28" s="251">
        <f t="shared" si="91"/>
        <v>192</v>
      </c>
      <c r="BW28" s="251">
        <f t="shared" si="91"/>
        <v>0</v>
      </c>
      <c r="BX28" s="252">
        <f t="shared" si="91"/>
        <v>0</v>
      </c>
      <c r="BY28" s="250">
        <f t="shared" si="91"/>
        <v>0</v>
      </c>
      <c r="BZ28" s="251">
        <f t="shared" si="91"/>
        <v>0</v>
      </c>
      <c r="CA28" s="251">
        <f t="shared" si="91"/>
        <v>0</v>
      </c>
      <c r="CB28" s="251">
        <f t="shared" si="91"/>
        <v>0</v>
      </c>
      <c r="CC28" s="253">
        <f t="shared" si="91"/>
        <v>0</v>
      </c>
      <c r="CD28" s="534"/>
      <c r="CE28" s="537"/>
      <c r="CF28" s="537"/>
      <c r="CG28" s="537"/>
      <c r="CH28" s="522"/>
      <c r="CI28" s="540"/>
      <c r="CJ28" s="522"/>
      <c r="CK28" s="525"/>
      <c r="CL28" s="528"/>
      <c r="CM28" s="531"/>
    </row>
    <row r="29" spans="1:91" s="258" customFormat="1" ht="27" customHeight="1" x14ac:dyDescent="0.25">
      <c r="C29" s="260">
        <f>SUM(D29:V29)</f>
        <v>66</v>
      </c>
      <c r="D29" s="261">
        <f>SUM(D25:D28)</f>
        <v>25</v>
      </c>
      <c r="E29" s="261">
        <f t="shared" ref="E29:V29" si="92">SUM(E25:E28)</f>
        <v>9</v>
      </c>
      <c r="F29" s="261">
        <f t="shared" si="92"/>
        <v>6</v>
      </c>
      <c r="G29" s="261">
        <f t="shared" si="92"/>
        <v>0</v>
      </c>
      <c r="H29" s="261">
        <f t="shared" si="92"/>
        <v>1</v>
      </c>
      <c r="I29" s="261">
        <f t="shared" si="92"/>
        <v>0</v>
      </c>
      <c r="J29" s="261">
        <f t="shared" si="92"/>
        <v>0</v>
      </c>
      <c r="K29" s="261">
        <f t="shared" si="92"/>
        <v>2</v>
      </c>
      <c r="L29" s="261">
        <f t="shared" si="92"/>
        <v>2</v>
      </c>
      <c r="M29" s="261">
        <f t="shared" si="92"/>
        <v>5</v>
      </c>
      <c r="N29" s="261">
        <f t="shared" si="92"/>
        <v>2</v>
      </c>
      <c r="O29" s="261">
        <f t="shared" si="92"/>
        <v>2</v>
      </c>
      <c r="P29" s="261">
        <f t="shared" si="92"/>
        <v>3</v>
      </c>
      <c r="Q29" s="261">
        <f t="shared" si="92"/>
        <v>1</v>
      </c>
      <c r="R29" s="261">
        <f t="shared" si="92"/>
        <v>2</v>
      </c>
      <c r="S29" s="261">
        <f t="shared" si="92"/>
        <v>1</v>
      </c>
      <c r="T29" s="261">
        <f t="shared" si="92"/>
        <v>5</v>
      </c>
      <c r="U29" s="261">
        <f t="shared" si="92"/>
        <v>0</v>
      </c>
      <c r="V29" s="261">
        <f t="shared" si="92"/>
        <v>0</v>
      </c>
      <c r="Z29" s="262"/>
      <c r="AA29" s="367">
        <f>SUM(AA25:AA28)</f>
        <v>-3.2709163346613552</v>
      </c>
      <c r="AB29" s="367">
        <f t="shared" ref="AB29:AS29" si="93">SUM(AB25:AB28)</f>
        <v>0.46613545816733026</v>
      </c>
      <c r="AC29" s="367">
        <f t="shared" si="93"/>
        <v>5.1274900398406364</v>
      </c>
      <c r="AD29" s="367">
        <f t="shared" si="93"/>
        <v>0</v>
      </c>
      <c r="AE29" s="367">
        <f t="shared" si="93"/>
        <v>-0.15139442231075706</v>
      </c>
      <c r="AF29" s="367">
        <f t="shared" si="93"/>
        <v>0</v>
      </c>
      <c r="AG29" s="367">
        <f t="shared" si="93"/>
        <v>0</v>
      </c>
      <c r="AH29" s="367">
        <f t="shared" si="93"/>
        <v>-0.42231075697211162</v>
      </c>
      <c r="AI29" s="367">
        <f t="shared" si="93"/>
        <v>-1.0796812749003983</v>
      </c>
      <c r="AJ29" s="367">
        <f t="shared" si="93"/>
        <v>-2.0956175298804784</v>
      </c>
      <c r="AK29" s="367">
        <f t="shared" si="93"/>
        <v>0.18725099601593609</v>
      </c>
      <c r="AL29" s="367">
        <f t="shared" si="93"/>
        <v>7.9681274900398336E-3</v>
      </c>
      <c r="AM29" s="367">
        <f t="shared" si="93"/>
        <v>3.0358565737051788</v>
      </c>
      <c r="AN29" s="367">
        <f t="shared" si="93"/>
        <v>8.7649402390438169E-2</v>
      </c>
      <c r="AO29" s="367">
        <f t="shared" si="93"/>
        <v>-1.2231075697211156</v>
      </c>
      <c r="AP29" s="367">
        <f t="shared" si="93"/>
        <v>-0.21115537848605581</v>
      </c>
      <c r="AQ29" s="367">
        <f t="shared" si="93"/>
        <v>-0.45816733067729087</v>
      </c>
      <c r="AR29" s="367">
        <f t="shared" si="93"/>
        <v>0</v>
      </c>
      <c r="AS29" s="367">
        <f t="shared" si="93"/>
        <v>0</v>
      </c>
      <c r="AW29" s="373">
        <f>IF(C29&lt;&gt;0,BT29/C29,0)</f>
        <v>191.59090909090909</v>
      </c>
      <c r="AX29" s="372">
        <f t="shared" si="81"/>
        <v>0.37955871886120995</v>
      </c>
      <c r="AY29" s="372">
        <f t="shared" si="81"/>
        <v>0.91862396204033214</v>
      </c>
      <c r="AZ29" s="372">
        <f t="shared" si="81"/>
        <v>3.2395413206801105</v>
      </c>
      <c r="BA29" s="372">
        <f t="shared" si="81"/>
        <v>0</v>
      </c>
      <c r="BB29" s="372">
        <f t="shared" si="81"/>
        <v>0.74116251482799522</v>
      </c>
      <c r="BC29" s="372">
        <f t="shared" si="81"/>
        <v>0</v>
      </c>
      <c r="BD29" s="372">
        <f t="shared" si="81"/>
        <v>0</v>
      </c>
      <c r="BE29" s="372">
        <f t="shared" si="81"/>
        <v>1.3779359430604983</v>
      </c>
      <c r="BF29" s="372">
        <f t="shared" si="81"/>
        <v>1.6075919335705813</v>
      </c>
      <c r="BG29" s="372">
        <f t="shared" si="81"/>
        <v>0.25366548042704629</v>
      </c>
      <c r="BH29" s="372">
        <f t="shared" si="81"/>
        <v>0.95516014234875446</v>
      </c>
      <c r="BI29" s="372">
        <f t="shared" si="81"/>
        <v>0.87686832740213527</v>
      </c>
      <c r="BJ29" s="372">
        <f t="shared" si="81"/>
        <v>3.5144325820482405</v>
      </c>
      <c r="BK29" s="372">
        <f t="shared" si="81"/>
        <v>0.9499406880189798</v>
      </c>
      <c r="BL29" s="372">
        <f t="shared" si="81"/>
        <v>0.67852906287069992</v>
      </c>
      <c r="BM29" s="372">
        <f t="shared" si="81"/>
        <v>0.34448398576512457</v>
      </c>
      <c r="BN29" s="372">
        <f t="shared" si="82"/>
        <v>0.79335705812574142</v>
      </c>
      <c r="BO29" s="372">
        <f t="shared" si="82"/>
        <v>0</v>
      </c>
      <c r="BP29" s="372">
        <f t="shared" si="82"/>
        <v>0</v>
      </c>
      <c r="BT29" s="260">
        <f>SUM(BU29:CM29)</f>
        <v>12645</v>
      </c>
      <c r="BU29" s="261">
        <f>SUM(BU25:BU28)</f>
        <v>1818</v>
      </c>
      <c r="BV29" s="261">
        <f t="shared" ref="BV29:CM29" si="94">SUM(BV25:BV28)</f>
        <v>1584</v>
      </c>
      <c r="BW29" s="261">
        <f t="shared" si="94"/>
        <v>3724</v>
      </c>
      <c r="BX29" s="261">
        <f t="shared" si="94"/>
        <v>0</v>
      </c>
      <c r="BY29" s="261">
        <f t="shared" si="94"/>
        <v>142</v>
      </c>
      <c r="BZ29" s="261">
        <f t="shared" si="94"/>
        <v>0</v>
      </c>
      <c r="CA29" s="261">
        <f t="shared" si="94"/>
        <v>0</v>
      </c>
      <c r="CB29" s="261">
        <f t="shared" si="94"/>
        <v>528</v>
      </c>
      <c r="CC29" s="261">
        <f t="shared" si="94"/>
        <v>616</v>
      </c>
      <c r="CD29" s="261">
        <f t="shared" si="94"/>
        <v>243</v>
      </c>
      <c r="CE29" s="261">
        <f t="shared" si="94"/>
        <v>366</v>
      </c>
      <c r="CF29" s="261">
        <f t="shared" si="94"/>
        <v>336</v>
      </c>
      <c r="CG29" s="261">
        <f t="shared" si="94"/>
        <v>2020</v>
      </c>
      <c r="CH29" s="261">
        <f t="shared" si="94"/>
        <v>182</v>
      </c>
      <c r="CI29" s="261">
        <f t="shared" si="94"/>
        <v>260</v>
      </c>
      <c r="CJ29" s="261">
        <f t="shared" si="94"/>
        <v>66</v>
      </c>
      <c r="CK29" s="261">
        <f t="shared" si="94"/>
        <v>760</v>
      </c>
      <c r="CL29" s="261">
        <f t="shared" si="94"/>
        <v>0</v>
      </c>
      <c r="CM29" s="261">
        <f t="shared" si="94"/>
        <v>0</v>
      </c>
    </row>
    <row r="30" spans="1:91" x14ac:dyDescent="0.25">
      <c r="A30" s="268" t="s">
        <v>364</v>
      </c>
      <c r="B30" s="269" t="s">
        <v>365</v>
      </c>
      <c r="C30" s="270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2"/>
      <c r="Y30" t="str">
        <f>"Aantal afschrijvingen per boot: "&amp;TEXT(Deler,"0")</f>
        <v>Aantal afschrijvingen per boot: 84</v>
      </c>
      <c r="BT30" s="273"/>
      <c r="BU30" s="274"/>
    </row>
    <row r="31" spans="1:91" ht="5.25" customHeight="1" x14ac:dyDescent="0.25">
      <c r="C31" s="69"/>
      <c r="D31" s="69"/>
    </row>
    <row r="32" spans="1:91" x14ac:dyDescent="0.25"/>
  </sheetData>
  <sheetProtection formatCells="0" formatColumns="0" formatRows="0" insertColumns="0" insertRows="0" insertHyperlinks="0" deleteColumns="0" deleteRows="0" sort="0" autoFilter="0" pivotTables="0"/>
  <mergeCells count="160">
    <mergeCell ref="S5:S8"/>
    <mergeCell ref="T5:T8"/>
    <mergeCell ref="U5:U8"/>
    <mergeCell ref="V5:V8"/>
    <mergeCell ref="AJ5:AJ8"/>
    <mergeCell ref="AK5:AK8"/>
    <mergeCell ref="M5:M8"/>
    <mergeCell ref="N5:N8"/>
    <mergeCell ref="O5:O8"/>
    <mergeCell ref="P5:P8"/>
    <mergeCell ref="Q5:Q8"/>
    <mergeCell ref="R5:R8"/>
    <mergeCell ref="BG5:BG8"/>
    <mergeCell ref="BH5:BH8"/>
    <mergeCell ref="BI5:BI8"/>
    <mergeCell ref="BJ5:BJ8"/>
    <mergeCell ref="AL5:AL8"/>
    <mergeCell ref="AM5:AM8"/>
    <mergeCell ref="AN5:AN8"/>
    <mergeCell ref="AO5:AO8"/>
    <mergeCell ref="AP5:AP8"/>
    <mergeCell ref="AQ5:AQ8"/>
    <mergeCell ref="CJ5:CJ8"/>
    <mergeCell ref="CK5:CK8"/>
    <mergeCell ref="CL5:CL8"/>
    <mergeCell ref="CM5:CM8"/>
    <mergeCell ref="M11:M14"/>
    <mergeCell ref="N11:N14"/>
    <mergeCell ref="O11:O14"/>
    <mergeCell ref="P11:P14"/>
    <mergeCell ref="Q11:Q14"/>
    <mergeCell ref="R11:R14"/>
    <mergeCell ref="CD5:CD8"/>
    <mergeCell ref="CE5:CE8"/>
    <mergeCell ref="CF5:CF8"/>
    <mergeCell ref="CG5:CG8"/>
    <mergeCell ref="CH5:CH8"/>
    <mergeCell ref="CI5:CI8"/>
    <mergeCell ref="BK5:BK8"/>
    <mergeCell ref="BL5:BL8"/>
    <mergeCell ref="BM5:BM8"/>
    <mergeCell ref="BN5:BN8"/>
    <mergeCell ref="BO5:BO8"/>
    <mergeCell ref="BP5:BP8"/>
    <mergeCell ref="AR5:AR8"/>
    <mergeCell ref="AS5:AS8"/>
    <mergeCell ref="CM11:CM14"/>
    <mergeCell ref="M17:M20"/>
    <mergeCell ref="N17:N20"/>
    <mergeCell ref="O17:O20"/>
    <mergeCell ref="P17:P20"/>
    <mergeCell ref="Q17:Q20"/>
    <mergeCell ref="R17:R20"/>
    <mergeCell ref="CD11:CD14"/>
    <mergeCell ref="CE11:CE14"/>
    <mergeCell ref="CF11:CF14"/>
    <mergeCell ref="CG11:CG14"/>
    <mergeCell ref="CH11:CH14"/>
    <mergeCell ref="CI11:CI14"/>
    <mergeCell ref="BK11:BK14"/>
    <mergeCell ref="BL11:BL14"/>
    <mergeCell ref="BM11:BM14"/>
    <mergeCell ref="BN11:BN14"/>
    <mergeCell ref="BO11:BO14"/>
    <mergeCell ref="BP11:BP14"/>
    <mergeCell ref="AR11:AR14"/>
    <mergeCell ref="AS11:AS14"/>
    <mergeCell ref="BG11:BG14"/>
    <mergeCell ref="BH11:BH14"/>
    <mergeCell ref="BI11:BI14"/>
    <mergeCell ref="S17:S20"/>
    <mergeCell ref="T17:T20"/>
    <mergeCell ref="U17:U20"/>
    <mergeCell ref="V17:V20"/>
    <mergeCell ref="AJ17:AJ20"/>
    <mergeCell ref="AK17:AK20"/>
    <mergeCell ref="CJ11:CJ14"/>
    <mergeCell ref="CK11:CK14"/>
    <mergeCell ref="CL11:CL14"/>
    <mergeCell ref="BJ11:BJ14"/>
    <mergeCell ref="AL11:AL14"/>
    <mergeCell ref="AM11:AM14"/>
    <mergeCell ref="AN11:AN14"/>
    <mergeCell ref="AO11:AO14"/>
    <mergeCell ref="AP11:AP14"/>
    <mergeCell ref="AQ11:AQ14"/>
    <mergeCell ref="S11:S14"/>
    <mergeCell ref="T11:T14"/>
    <mergeCell ref="U11:U14"/>
    <mergeCell ref="V11:V14"/>
    <mergeCell ref="AJ11:AJ14"/>
    <mergeCell ref="AK11:AK14"/>
    <mergeCell ref="BG17:BG20"/>
    <mergeCell ref="BH17:BH20"/>
    <mergeCell ref="BI17:BI20"/>
    <mergeCell ref="BJ17:BJ20"/>
    <mergeCell ref="AL17:AL20"/>
    <mergeCell ref="AM17:AM20"/>
    <mergeCell ref="AN17:AN20"/>
    <mergeCell ref="AO17:AO20"/>
    <mergeCell ref="AP17:AP20"/>
    <mergeCell ref="AQ17:AQ20"/>
    <mergeCell ref="CJ17:CJ20"/>
    <mergeCell ref="CK17:CK20"/>
    <mergeCell ref="CL17:CL20"/>
    <mergeCell ref="CM17:CM20"/>
    <mergeCell ref="M25:M28"/>
    <mergeCell ref="N25:N28"/>
    <mergeCell ref="O25:O28"/>
    <mergeCell ref="P25:P28"/>
    <mergeCell ref="Q25:Q28"/>
    <mergeCell ref="R25:R28"/>
    <mergeCell ref="CD17:CD20"/>
    <mergeCell ref="CE17:CE20"/>
    <mergeCell ref="CF17:CF20"/>
    <mergeCell ref="CG17:CG20"/>
    <mergeCell ref="CH17:CH20"/>
    <mergeCell ref="CI17:CI20"/>
    <mergeCell ref="BK17:BK20"/>
    <mergeCell ref="BL17:BL20"/>
    <mergeCell ref="BM17:BM20"/>
    <mergeCell ref="BN17:BN20"/>
    <mergeCell ref="BO17:BO20"/>
    <mergeCell ref="BP17:BP20"/>
    <mergeCell ref="AR17:AR20"/>
    <mergeCell ref="AS17:AS20"/>
    <mergeCell ref="AL25:AL28"/>
    <mergeCell ref="AM25:AM28"/>
    <mergeCell ref="AN25:AN28"/>
    <mergeCell ref="AO25:AO28"/>
    <mergeCell ref="AP25:AP28"/>
    <mergeCell ref="AQ25:AQ28"/>
    <mergeCell ref="S25:S28"/>
    <mergeCell ref="T25:T28"/>
    <mergeCell ref="U25:U28"/>
    <mergeCell ref="V25:V28"/>
    <mergeCell ref="AJ25:AJ28"/>
    <mergeCell ref="AK25:AK28"/>
    <mergeCell ref="BK25:BK28"/>
    <mergeCell ref="BL25:BL28"/>
    <mergeCell ref="BM25:BM28"/>
    <mergeCell ref="BN25:BN28"/>
    <mergeCell ref="BO25:BO28"/>
    <mergeCell ref="BP25:BP28"/>
    <mergeCell ref="AR25:AR28"/>
    <mergeCell ref="AS25:AS28"/>
    <mergeCell ref="BG25:BG28"/>
    <mergeCell ref="BH25:BH28"/>
    <mergeCell ref="BI25:BI28"/>
    <mergeCell ref="BJ25:BJ28"/>
    <mergeCell ref="CJ25:CJ28"/>
    <mergeCell ref="CK25:CK28"/>
    <mergeCell ref="CL25:CL28"/>
    <mergeCell ref="CM25:CM28"/>
    <mergeCell ref="CD25:CD28"/>
    <mergeCell ref="CE25:CE28"/>
    <mergeCell ref="CF25:CF28"/>
    <mergeCell ref="CG25:CG28"/>
    <mergeCell ref="CH25:CH28"/>
    <mergeCell ref="CI25:CI28"/>
  </mergeCells>
  <conditionalFormatting sqref="AX5:BP29">
    <cfRule type="expression" dxfId="2" priority="1">
      <formula>AX5&lt;1</formula>
    </cfRule>
  </conditionalFormatting>
  <pageMargins left="0.25" right="0.25" top="0.75" bottom="0.75" header="0.3" footer="0.3"/>
  <pageSetup paperSize="9" orientation="landscape" horizontalDpi="4294967293" verticalDpi="4294967293" r:id="rId1"/>
  <colBreaks count="2" manualBreakCount="2">
    <brk id="46" max="1048575" man="1"/>
    <brk id="6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="90" zoomScaleNormal="90" workbookViewId="0">
      <selection activeCell="B3" sqref="B3"/>
    </sheetView>
  </sheetViews>
  <sheetFormatPr defaultColWidth="0" defaultRowHeight="15" customHeight="1" zeroHeight="1" x14ac:dyDescent="0.25"/>
  <cols>
    <col min="1" max="1" width="7" bestFit="1" customWidth="1"/>
    <col min="2" max="2" width="10.85546875" customWidth="1"/>
    <col min="3" max="3" width="11.85546875" customWidth="1"/>
    <col min="4" max="28" width="8.85546875" bestFit="1" customWidth="1"/>
    <col min="29" max="43" width="8.28515625" customWidth="1"/>
    <col min="44" max="44" width="9.140625" customWidth="1"/>
    <col min="45" max="16384" width="9.140625" hidden="1"/>
  </cols>
  <sheetData>
    <row r="1" spans="1:44" ht="33.75" x14ac:dyDescent="0.5">
      <c r="A1" s="223"/>
      <c r="B1" s="223" t="str">
        <f>"Investeringsprognose "&amp;IF(Kentallen!$D$2="",Kentallen!$F$2,Kentallen!$D$2)</f>
        <v>Investeringsprognose RV Naarden</v>
      </c>
    </row>
    <row r="2" spans="1:44" s="275" customFormat="1" ht="15.75" customHeight="1" x14ac:dyDescent="0.2">
      <c r="A2" s="333"/>
      <c r="B2" s="334"/>
      <c r="C2" s="335"/>
      <c r="D2" s="335"/>
      <c r="E2" s="335">
        <v>1</v>
      </c>
      <c r="F2" s="336">
        <f>IF(F3=0,0,E2+1)</f>
        <v>2</v>
      </c>
      <c r="G2" s="336">
        <f t="shared" ref="G2:AQ2" si="0">IF(G3=0,0,F2+1)</f>
        <v>3</v>
      </c>
      <c r="H2" s="336">
        <f t="shared" si="0"/>
        <v>4</v>
      </c>
      <c r="I2" s="336">
        <f t="shared" si="0"/>
        <v>5</v>
      </c>
      <c r="J2" s="336">
        <f t="shared" si="0"/>
        <v>6</v>
      </c>
      <c r="K2" s="336">
        <f t="shared" si="0"/>
        <v>7</v>
      </c>
      <c r="L2" s="336">
        <f t="shared" si="0"/>
        <v>8</v>
      </c>
      <c r="M2" s="336">
        <f t="shared" si="0"/>
        <v>9</v>
      </c>
      <c r="N2" s="336">
        <f t="shared" si="0"/>
        <v>10</v>
      </c>
      <c r="O2" s="336">
        <f t="shared" si="0"/>
        <v>11</v>
      </c>
      <c r="P2" s="336">
        <f t="shared" si="0"/>
        <v>12</v>
      </c>
      <c r="Q2" s="336">
        <f t="shared" si="0"/>
        <v>13</v>
      </c>
      <c r="R2" s="336">
        <f t="shared" si="0"/>
        <v>14</v>
      </c>
      <c r="S2" s="336">
        <f t="shared" si="0"/>
        <v>15</v>
      </c>
      <c r="T2" s="336">
        <f t="shared" si="0"/>
        <v>16</v>
      </c>
      <c r="U2" s="336">
        <f t="shared" si="0"/>
        <v>17</v>
      </c>
      <c r="V2" s="336">
        <f t="shared" si="0"/>
        <v>18</v>
      </c>
      <c r="W2" s="336">
        <f t="shared" si="0"/>
        <v>19</v>
      </c>
      <c r="X2" s="336">
        <f t="shared" si="0"/>
        <v>20</v>
      </c>
      <c r="Y2" s="336">
        <f t="shared" si="0"/>
        <v>21</v>
      </c>
      <c r="Z2" s="336">
        <f t="shared" si="0"/>
        <v>22</v>
      </c>
      <c r="AA2" s="336">
        <f t="shared" si="0"/>
        <v>23</v>
      </c>
      <c r="AB2" s="336">
        <f t="shared" si="0"/>
        <v>24</v>
      </c>
      <c r="AC2" s="336">
        <f t="shared" si="0"/>
        <v>25</v>
      </c>
      <c r="AD2" s="336">
        <f t="shared" si="0"/>
        <v>26</v>
      </c>
      <c r="AE2" s="336">
        <f t="shared" si="0"/>
        <v>27</v>
      </c>
      <c r="AF2" s="336">
        <f t="shared" si="0"/>
        <v>28</v>
      </c>
      <c r="AG2" s="336">
        <f t="shared" si="0"/>
        <v>29</v>
      </c>
      <c r="AH2" s="336">
        <f t="shared" si="0"/>
        <v>30</v>
      </c>
      <c r="AI2" s="336">
        <f t="shared" si="0"/>
        <v>31</v>
      </c>
      <c r="AJ2" s="336">
        <f t="shared" si="0"/>
        <v>0</v>
      </c>
      <c r="AK2" s="336">
        <f t="shared" si="0"/>
        <v>0</v>
      </c>
      <c r="AL2" s="336">
        <f t="shared" si="0"/>
        <v>0</v>
      </c>
      <c r="AM2" s="336">
        <f t="shared" si="0"/>
        <v>0</v>
      </c>
      <c r="AN2" s="336">
        <f t="shared" si="0"/>
        <v>0</v>
      </c>
      <c r="AO2" s="336">
        <f t="shared" si="0"/>
        <v>0</v>
      </c>
      <c r="AP2" s="336">
        <f t="shared" si="0"/>
        <v>0</v>
      </c>
      <c r="AQ2" s="336">
        <f t="shared" si="0"/>
        <v>0</v>
      </c>
      <c r="AR2" s="335"/>
    </row>
    <row r="3" spans="1:44" s="228" customFormat="1" x14ac:dyDescent="0.25">
      <c r="A3" s="337">
        <f>B3-D3</f>
        <v>31</v>
      </c>
      <c r="B3" s="338">
        <f>INT(Kentallen!$F$62+Kentallen!$F$3)</f>
        <v>2043</v>
      </c>
      <c r="C3" s="276" t="s">
        <v>405</v>
      </c>
      <c r="D3" s="277">
        <f>Kentallen!$F$3</f>
        <v>2012</v>
      </c>
      <c r="E3" s="278">
        <f t="shared" ref="E3:AA3" si="1">IF(AND(D3+1&lt;=$B$3,D3&lt;&gt;0),D3+1,0)</f>
        <v>2013</v>
      </c>
      <c r="F3" s="278">
        <f t="shared" si="1"/>
        <v>2014</v>
      </c>
      <c r="G3" s="278">
        <f t="shared" si="1"/>
        <v>2015</v>
      </c>
      <c r="H3" s="278">
        <f t="shared" si="1"/>
        <v>2016</v>
      </c>
      <c r="I3" s="278">
        <f t="shared" si="1"/>
        <v>2017</v>
      </c>
      <c r="J3" s="278">
        <f t="shared" si="1"/>
        <v>2018</v>
      </c>
      <c r="K3" s="278">
        <f t="shared" si="1"/>
        <v>2019</v>
      </c>
      <c r="L3" s="278">
        <f t="shared" si="1"/>
        <v>2020</v>
      </c>
      <c r="M3" s="278">
        <f t="shared" si="1"/>
        <v>2021</v>
      </c>
      <c r="N3" s="278">
        <f t="shared" si="1"/>
        <v>2022</v>
      </c>
      <c r="O3" s="278">
        <f t="shared" si="1"/>
        <v>2023</v>
      </c>
      <c r="P3" s="278">
        <f t="shared" si="1"/>
        <v>2024</v>
      </c>
      <c r="Q3" s="278">
        <f t="shared" si="1"/>
        <v>2025</v>
      </c>
      <c r="R3" s="278">
        <f t="shared" si="1"/>
        <v>2026</v>
      </c>
      <c r="S3" s="278">
        <f t="shared" si="1"/>
        <v>2027</v>
      </c>
      <c r="T3" s="278">
        <f t="shared" si="1"/>
        <v>2028</v>
      </c>
      <c r="U3" s="278">
        <f t="shared" si="1"/>
        <v>2029</v>
      </c>
      <c r="V3" s="278">
        <f t="shared" si="1"/>
        <v>2030</v>
      </c>
      <c r="W3" s="278">
        <f t="shared" si="1"/>
        <v>2031</v>
      </c>
      <c r="X3" s="278">
        <f t="shared" si="1"/>
        <v>2032</v>
      </c>
      <c r="Y3" s="278">
        <f t="shared" si="1"/>
        <v>2033</v>
      </c>
      <c r="Z3" s="278">
        <f t="shared" si="1"/>
        <v>2034</v>
      </c>
      <c r="AA3" s="278">
        <f t="shared" si="1"/>
        <v>2035</v>
      </c>
      <c r="AB3" s="278">
        <f>IF(AND(AA3+1&lt;=$B$3,AA3&lt;&gt;0),AA3+1,0)</f>
        <v>2036</v>
      </c>
      <c r="AC3" s="278">
        <f t="shared" ref="AC3:AQ3" si="2">IF(AND(AB3+1&lt;=$B$3,AB3&lt;&gt;0),AB3+1,0)</f>
        <v>2037</v>
      </c>
      <c r="AD3" s="278">
        <f t="shared" si="2"/>
        <v>2038</v>
      </c>
      <c r="AE3" s="278">
        <f t="shared" si="2"/>
        <v>2039</v>
      </c>
      <c r="AF3" s="278">
        <f t="shared" si="2"/>
        <v>2040</v>
      </c>
      <c r="AG3" s="278">
        <f t="shared" si="2"/>
        <v>2041</v>
      </c>
      <c r="AH3" s="278">
        <f t="shared" si="2"/>
        <v>2042</v>
      </c>
      <c r="AI3" s="278">
        <f t="shared" si="2"/>
        <v>2043</v>
      </c>
      <c r="AJ3" s="278">
        <f t="shared" si="2"/>
        <v>0</v>
      </c>
      <c r="AK3" s="278">
        <f t="shared" si="2"/>
        <v>0</v>
      </c>
      <c r="AL3" s="278">
        <f t="shared" si="2"/>
        <v>0</v>
      </c>
      <c r="AM3" s="278">
        <f t="shared" si="2"/>
        <v>0</v>
      </c>
      <c r="AN3" s="278">
        <f t="shared" si="2"/>
        <v>0</v>
      </c>
      <c r="AO3" s="278">
        <f t="shared" si="2"/>
        <v>0</v>
      </c>
      <c r="AP3" s="278">
        <f t="shared" si="2"/>
        <v>0</v>
      </c>
      <c r="AQ3" s="279">
        <f t="shared" si="2"/>
        <v>0</v>
      </c>
    </row>
    <row r="4" spans="1:44" x14ac:dyDescent="0.25">
      <c r="A4" s="280" t="s">
        <v>213</v>
      </c>
      <c r="B4" s="281">
        <f>SUMIFS(Hulptabel!$AC$3:$AC$152,Hulptabel!$D$3:$D$152,A4)</f>
        <v>186500</v>
      </c>
      <c r="C4" s="282">
        <f>B4-SUM(D4:AQ4)</f>
        <v>0</v>
      </c>
      <c r="D4" s="283">
        <f>SUMIFS(Hulptabel!$AC$3:$AC$152,Hulptabel!$D$3:$D$152,$A4,Hulptabel!$I$3:$I$152,D$3)+SUMIFS(Hulptabel!$AC$3:$AC$152,Hulptabel!$D$3:$D$152,$A4,Hulptabel!$E$3:$E$152,2012)</f>
        <v>0</v>
      </c>
      <c r="E4" s="283">
        <f>SUMIFS(Hulptabel!$AC$3:$AC$152,Hulptabel!$D$3:$D$152,$A4,Hulptabel!$I$3:$I$152,E$3)</f>
        <v>0</v>
      </c>
      <c r="F4" s="283">
        <f>SUMIFS(Hulptabel!$AC$3:$AC$152,Hulptabel!$D$3:$D$152,$A4,Hulptabel!$I$3:$I$152,F$3)</f>
        <v>8945</v>
      </c>
      <c r="G4" s="283">
        <f>SUMIFS(Hulptabel!$AC$3:$AC$152,Hulptabel!$D$3:$D$152,$A4,Hulptabel!$I$3:$I$152,G$3)</f>
        <v>8945</v>
      </c>
      <c r="H4" s="283">
        <f>SUMIFS(Hulptabel!$AC$3:$AC$152,Hulptabel!$D$3:$D$152,$A4,Hulptabel!$I$3:$I$152,H$3)</f>
        <v>0</v>
      </c>
      <c r="I4" s="283">
        <f>SUMIFS(Hulptabel!$AC$3:$AC$152,Hulptabel!$D$3:$D$152,$A4,Hulptabel!$I$3:$I$152,I$3)</f>
        <v>0</v>
      </c>
      <c r="J4" s="283">
        <f>SUMIFS(Hulptabel!$AC$3:$AC$152,Hulptabel!$D$3:$D$152,$A4,Hulptabel!$I$3:$I$152,J$3)</f>
        <v>0</v>
      </c>
      <c r="K4" s="283">
        <f>SUMIFS(Hulptabel!$AC$3:$AC$152,Hulptabel!$D$3:$D$152,$A4,Hulptabel!$I$3:$I$152,K$3)</f>
        <v>0</v>
      </c>
      <c r="L4" s="283">
        <f>SUMIFS(Hulptabel!$AC$3:$AC$152,Hulptabel!$D$3:$D$152,$A4,Hulptabel!$I$3:$I$152,L$3)</f>
        <v>0</v>
      </c>
      <c r="M4" s="283">
        <f>SUMIFS(Hulptabel!$AC$3:$AC$152,Hulptabel!$D$3:$D$152,$A4,Hulptabel!$I$3:$I$152,M$3)</f>
        <v>8945</v>
      </c>
      <c r="N4" s="283">
        <f>SUMIFS(Hulptabel!$AC$3:$AC$152,Hulptabel!$D$3:$D$152,$A4,Hulptabel!$I$3:$I$152,N$3)</f>
        <v>0</v>
      </c>
      <c r="O4" s="283">
        <f>SUMIFS(Hulptabel!$AC$3:$AC$152,Hulptabel!$D$3:$D$152,$A4,Hulptabel!$I$3:$I$152,O$3)</f>
        <v>0</v>
      </c>
      <c r="P4" s="283">
        <f>SUMIFS(Hulptabel!$AC$3:$AC$152,Hulptabel!$D$3:$D$152,$A4,Hulptabel!$I$3:$I$152,P$3)</f>
        <v>6470</v>
      </c>
      <c r="Q4" s="283">
        <f>SUMIFS(Hulptabel!$AC$3:$AC$152,Hulptabel!$D$3:$D$152,$A4,Hulptabel!$I$3:$I$152,Q$3)</f>
        <v>0</v>
      </c>
      <c r="R4" s="283">
        <f>SUMIFS(Hulptabel!$AC$3:$AC$152,Hulptabel!$D$3:$D$152,$A4,Hulptabel!$I$3:$I$152,R$3)</f>
        <v>6470</v>
      </c>
      <c r="S4" s="283">
        <f>SUMIFS(Hulptabel!$AC$3:$AC$152,Hulptabel!$D$3:$D$152,$A4,Hulptabel!$I$3:$I$152,S$3)</f>
        <v>6470</v>
      </c>
      <c r="T4" s="283">
        <f>SUMIFS(Hulptabel!$AC$3:$AC$152,Hulptabel!$D$3:$D$152,$A4,Hulptabel!$I$3:$I$152,T$3)</f>
        <v>15415</v>
      </c>
      <c r="U4" s="283">
        <f>SUMIFS(Hulptabel!$AC$3:$AC$152,Hulptabel!$D$3:$D$152,$A4,Hulptabel!$I$3:$I$152,U$3)</f>
        <v>6470</v>
      </c>
      <c r="V4" s="283">
        <f>SUMIFS(Hulptabel!$AC$3:$AC$152,Hulptabel!$D$3:$D$152,$A4,Hulptabel!$I$3:$I$152,V$3)</f>
        <v>0</v>
      </c>
      <c r="W4" s="283">
        <f>SUMIFS(Hulptabel!$AC$3:$AC$152,Hulptabel!$D$3:$D$152,$A4,Hulptabel!$I$3:$I$152,W$3)</f>
        <v>8945</v>
      </c>
      <c r="X4" s="283">
        <f>SUMIFS(Hulptabel!$AC$3:$AC$152,Hulptabel!$D$3:$D$152,$A4,Hulptabel!$I$3:$I$152,X$3)</f>
        <v>15415</v>
      </c>
      <c r="Y4" s="283">
        <f>SUMIFS(Hulptabel!$AC$3:$AC$152,Hulptabel!$D$3:$D$152,$A4,Hulptabel!$I$3:$I$152,Y$3)</f>
        <v>0</v>
      </c>
      <c r="Z4" s="283">
        <f>SUMIFS(Hulptabel!$AC$3:$AC$152,Hulptabel!$D$3:$D$152,$A4,Hulptabel!$I$3:$I$152,Z$3)</f>
        <v>8945</v>
      </c>
      <c r="AA4" s="283">
        <f>SUMIFS(Hulptabel!$AC$3:$AC$152,Hulptabel!$D$3:$D$152,$A4,Hulptabel!$I$3:$I$152,AA$3)</f>
        <v>25880</v>
      </c>
      <c r="AB4" s="283">
        <f>SUMIFS(Hulptabel!$AC$3:$AC$152,Hulptabel!$D$3:$D$152,$A4,Hulptabel!$I$3:$I$152,AB$3)</f>
        <v>0</v>
      </c>
      <c r="AC4" s="283">
        <f>SUMIFS(Hulptabel!$AC$3:$AC$152,Hulptabel!$D$3:$D$152,$A4,Hulptabel!$I$3:$I$152,AC$3)</f>
        <v>0</v>
      </c>
      <c r="AD4" s="283">
        <f>SUMIFS(Hulptabel!$AC$3:$AC$152,Hulptabel!$D$3:$D$152,$A4,Hulptabel!$I$3:$I$152,AD$3)</f>
        <v>0</v>
      </c>
      <c r="AE4" s="283">
        <f>SUMIFS(Hulptabel!$AC$3:$AC$152,Hulptabel!$D$3:$D$152,$A4,Hulptabel!$I$3:$I$152,AE$3)</f>
        <v>28355</v>
      </c>
      <c r="AF4" s="283">
        <f>SUMIFS(Hulptabel!$AC$3:$AC$152,Hulptabel!$D$3:$D$152,$A4,Hulptabel!$I$3:$I$152,AF$3)</f>
        <v>0</v>
      </c>
      <c r="AG4" s="283">
        <f>SUMIFS(Hulptabel!$AC$3:$AC$152,Hulptabel!$D$3:$D$152,$A4,Hulptabel!$I$3:$I$152,AG$3)</f>
        <v>30830</v>
      </c>
      <c r="AH4" s="283">
        <f>SUMIFS(Hulptabel!$AC$3:$AC$152,Hulptabel!$D$3:$D$152,$A4,Hulptabel!$I$3:$I$152,AH$3)</f>
        <v>0</v>
      </c>
      <c r="AI4" s="283">
        <f>SUMIFS(Hulptabel!$AC$3:$AC$152,Hulptabel!$D$3:$D$152,$A4,Hulptabel!$I$3:$I$152,AI$3)</f>
        <v>0</v>
      </c>
      <c r="AJ4" s="283">
        <f>SUMIFS(Hulptabel!$AC$3:$AC$152,Hulptabel!$D$3:$D$152,$A4,Hulptabel!$I$3:$I$152,AJ$3)</f>
        <v>0</v>
      </c>
      <c r="AK4" s="283">
        <f>SUMIFS(Hulptabel!$AC$3:$AC$152,Hulptabel!$D$3:$D$152,$A4,Hulptabel!$I$3:$I$152,AK$3)</f>
        <v>0</v>
      </c>
      <c r="AL4" s="283">
        <f>SUMIFS(Hulptabel!$AC$3:$AC$152,Hulptabel!$D$3:$D$152,$A4,Hulptabel!$I$3:$I$152,AL$3)</f>
        <v>0</v>
      </c>
      <c r="AM4" s="283">
        <f>SUMIFS(Hulptabel!$AC$3:$AC$152,Hulptabel!$D$3:$D$152,$A4,Hulptabel!$I$3:$I$152,AM$3)</f>
        <v>0</v>
      </c>
      <c r="AN4" s="283">
        <f>SUMIFS(Hulptabel!$AC$3:$AC$152,Hulptabel!$D$3:$D$152,$A4,Hulptabel!$I$3:$I$152,AN$3)</f>
        <v>0</v>
      </c>
      <c r="AO4" s="283">
        <f>SUMIFS(Hulptabel!$AC$3:$AC$152,Hulptabel!$D$3:$D$152,$A4,Hulptabel!$I$3:$I$152,AO$3)</f>
        <v>0</v>
      </c>
      <c r="AP4" s="283">
        <f>SUMIFS(Hulptabel!$AC$3:$AC$152,Hulptabel!$D$3:$D$152,$A4,Hulptabel!$I$3:$I$152,AP$3)</f>
        <v>0</v>
      </c>
      <c r="AQ4" s="284">
        <f>SUMIFS(Hulptabel!$AC$3:$AC$152,Hulptabel!$D$3:$D$152,$A4,Hulptabel!$I$3:$I$152,AQ$3)</f>
        <v>0</v>
      </c>
    </row>
    <row r="5" spans="1:44" x14ac:dyDescent="0.25">
      <c r="A5" s="285" t="s">
        <v>219</v>
      </c>
      <c r="B5" s="281">
        <f>SUMIFS(Hulptabel!$AC$3:$AC$152,Hulptabel!$D$3:$D$152,A5)</f>
        <v>111570</v>
      </c>
      <c r="C5" s="281">
        <f t="shared" ref="C5:C22" si="3">B5-SUM(D5:AQ5)</f>
        <v>0</v>
      </c>
      <c r="D5" s="286">
        <f>SUMIFS(Hulptabel!$AC$3:$AC$152,Hulptabel!$D$3:$D$152,$A5,Hulptabel!$I$3:$I$152,D$3)+SUMIFS(Hulptabel!$AC$3:$AC$152,Hulptabel!$D$3:$D$152,$A5,Hulptabel!$E$3:$E$152,2012)</f>
        <v>0</v>
      </c>
      <c r="E5" s="286">
        <f>SUMIFS(Hulptabel!$AC$3:$AC$152,Hulptabel!$D$3:$D$152,$A5,Hulptabel!$I$3:$I$152,E$3)</f>
        <v>0</v>
      </c>
      <c r="F5" s="286">
        <f>SUMIFS(Hulptabel!$AC$3:$AC$152,Hulptabel!$D$3:$D$152,$A5,Hulptabel!$I$3:$I$152,F$3)</f>
        <v>0</v>
      </c>
      <c r="G5" s="286">
        <f>SUMIFS(Hulptabel!$AC$3:$AC$152,Hulptabel!$D$3:$D$152,$A5,Hulptabel!$I$3:$I$152,G$3)</f>
        <v>0</v>
      </c>
      <c r="H5" s="286">
        <f>SUMIFS(Hulptabel!$AC$3:$AC$152,Hulptabel!$D$3:$D$152,$A5,Hulptabel!$I$3:$I$152,H$3)</f>
        <v>0</v>
      </c>
      <c r="I5" s="286">
        <f>SUMIFS(Hulptabel!$AC$3:$AC$152,Hulptabel!$D$3:$D$152,$A5,Hulptabel!$I$3:$I$152,I$3)</f>
        <v>0</v>
      </c>
      <c r="J5" s="286">
        <f>SUMIFS(Hulptabel!$AC$3:$AC$152,Hulptabel!$D$3:$D$152,$A5,Hulptabel!$I$3:$I$152,J$3)</f>
        <v>14090</v>
      </c>
      <c r="K5" s="286">
        <f>SUMIFS(Hulptabel!$AC$3:$AC$152,Hulptabel!$D$3:$D$152,$A5,Hulptabel!$I$3:$I$152,K$3)</f>
        <v>0</v>
      </c>
      <c r="L5" s="286">
        <f>SUMIFS(Hulptabel!$AC$3:$AC$152,Hulptabel!$D$3:$D$152,$A5,Hulptabel!$I$3:$I$152,L$3)</f>
        <v>0</v>
      </c>
      <c r="M5" s="286">
        <f>SUMIFS(Hulptabel!$AC$3:$AC$152,Hulptabel!$D$3:$D$152,$A5,Hulptabel!$I$3:$I$152,M$3)</f>
        <v>0</v>
      </c>
      <c r="N5" s="286">
        <f>SUMIFS(Hulptabel!$AC$3:$AC$152,Hulptabel!$D$3:$D$152,$A5,Hulptabel!$I$3:$I$152,N$3)</f>
        <v>0</v>
      </c>
      <c r="O5" s="286">
        <f>SUMIFS(Hulptabel!$AC$3:$AC$152,Hulptabel!$D$3:$D$152,$A5,Hulptabel!$I$3:$I$152,O$3)</f>
        <v>10280</v>
      </c>
      <c r="P5" s="286">
        <f>SUMIFS(Hulptabel!$AC$3:$AC$152,Hulptabel!$D$3:$D$152,$A5,Hulptabel!$I$3:$I$152,P$3)</f>
        <v>0</v>
      </c>
      <c r="Q5" s="286">
        <f>SUMIFS(Hulptabel!$AC$3:$AC$152,Hulptabel!$D$3:$D$152,$A5,Hulptabel!$I$3:$I$152,Q$3)</f>
        <v>0</v>
      </c>
      <c r="R5" s="286">
        <f>SUMIFS(Hulptabel!$AC$3:$AC$152,Hulptabel!$D$3:$D$152,$A5,Hulptabel!$I$3:$I$152,R$3)</f>
        <v>0</v>
      </c>
      <c r="S5" s="286">
        <f>SUMIFS(Hulptabel!$AC$3:$AC$152,Hulptabel!$D$3:$D$152,$A5,Hulptabel!$I$3:$I$152,S$3)</f>
        <v>0</v>
      </c>
      <c r="T5" s="286">
        <f>SUMIFS(Hulptabel!$AC$3:$AC$152,Hulptabel!$D$3:$D$152,$A5,Hulptabel!$I$3:$I$152,T$3)</f>
        <v>10280</v>
      </c>
      <c r="U5" s="286">
        <f>SUMIFS(Hulptabel!$AC$3:$AC$152,Hulptabel!$D$3:$D$152,$A5,Hulptabel!$I$3:$I$152,U$3)</f>
        <v>14090</v>
      </c>
      <c r="V5" s="286">
        <f>SUMIFS(Hulptabel!$AC$3:$AC$152,Hulptabel!$D$3:$D$152,$A5,Hulptabel!$I$3:$I$152,V$3)</f>
        <v>0</v>
      </c>
      <c r="W5" s="286">
        <f>SUMIFS(Hulptabel!$AC$3:$AC$152,Hulptabel!$D$3:$D$152,$A5,Hulptabel!$I$3:$I$152,W$3)</f>
        <v>0</v>
      </c>
      <c r="X5" s="286">
        <f>SUMIFS(Hulptabel!$AC$3:$AC$152,Hulptabel!$D$3:$D$152,$A5,Hulptabel!$I$3:$I$152,X$3)</f>
        <v>0</v>
      </c>
      <c r="Y5" s="286">
        <f>SUMIFS(Hulptabel!$AC$3:$AC$152,Hulptabel!$D$3:$D$152,$A5,Hulptabel!$I$3:$I$152,Y$3)</f>
        <v>0</v>
      </c>
      <c r="Z5" s="286">
        <f>SUMIFS(Hulptabel!$AC$3:$AC$152,Hulptabel!$D$3:$D$152,$A5,Hulptabel!$I$3:$I$152,Z$3)</f>
        <v>14090</v>
      </c>
      <c r="AA5" s="286">
        <f>SUMIFS(Hulptabel!$AC$3:$AC$152,Hulptabel!$D$3:$D$152,$A5,Hulptabel!$I$3:$I$152,AA$3)</f>
        <v>0</v>
      </c>
      <c r="AB5" s="286">
        <f>SUMIFS(Hulptabel!$AC$3:$AC$152,Hulptabel!$D$3:$D$152,$A5,Hulptabel!$I$3:$I$152,AB$3)</f>
        <v>0</v>
      </c>
      <c r="AC5" s="286">
        <f>SUMIFS(Hulptabel!$AC$3:$AC$152,Hulptabel!$D$3:$D$152,$A5,Hulptabel!$I$3:$I$152,AC$3)</f>
        <v>14090</v>
      </c>
      <c r="AD5" s="286">
        <f>SUMIFS(Hulptabel!$AC$3:$AC$152,Hulptabel!$D$3:$D$152,$A5,Hulptabel!$I$3:$I$152,AD$3)</f>
        <v>0</v>
      </c>
      <c r="AE5" s="286">
        <f>SUMIFS(Hulptabel!$AC$3:$AC$152,Hulptabel!$D$3:$D$152,$A5,Hulptabel!$I$3:$I$152,AE$3)</f>
        <v>14090</v>
      </c>
      <c r="AF5" s="286">
        <f>SUMIFS(Hulptabel!$AC$3:$AC$152,Hulptabel!$D$3:$D$152,$A5,Hulptabel!$I$3:$I$152,AF$3)</f>
        <v>0</v>
      </c>
      <c r="AG5" s="286">
        <f>SUMIFS(Hulptabel!$AC$3:$AC$152,Hulptabel!$D$3:$D$152,$A5,Hulptabel!$I$3:$I$152,AG$3)</f>
        <v>20560</v>
      </c>
      <c r="AH5" s="286">
        <f>SUMIFS(Hulptabel!$AC$3:$AC$152,Hulptabel!$D$3:$D$152,$A5,Hulptabel!$I$3:$I$152,AH$3)</f>
        <v>0</v>
      </c>
      <c r="AI5" s="286">
        <f>SUMIFS(Hulptabel!$AC$3:$AC$152,Hulptabel!$D$3:$D$152,$A5,Hulptabel!$I$3:$I$152,AI$3)</f>
        <v>0</v>
      </c>
      <c r="AJ5" s="286">
        <f>SUMIFS(Hulptabel!$AC$3:$AC$152,Hulptabel!$D$3:$D$152,$A5,Hulptabel!$I$3:$I$152,AJ$3)</f>
        <v>0</v>
      </c>
      <c r="AK5" s="286">
        <f>SUMIFS(Hulptabel!$AC$3:$AC$152,Hulptabel!$D$3:$D$152,$A5,Hulptabel!$I$3:$I$152,AK$3)</f>
        <v>0</v>
      </c>
      <c r="AL5" s="286">
        <f>SUMIFS(Hulptabel!$AC$3:$AC$152,Hulptabel!$D$3:$D$152,$A5,Hulptabel!$I$3:$I$152,AL$3)</f>
        <v>0</v>
      </c>
      <c r="AM5" s="286">
        <f>SUMIFS(Hulptabel!$AC$3:$AC$152,Hulptabel!$D$3:$D$152,$A5,Hulptabel!$I$3:$I$152,AM$3)</f>
        <v>0</v>
      </c>
      <c r="AN5" s="286">
        <f>SUMIFS(Hulptabel!$AC$3:$AC$152,Hulptabel!$D$3:$D$152,$A5,Hulptabel!$I$3:$I$152,AN$3)</f>
        <v>0</v>
      </c>
      <c r="AO5" s="286">
        <f>SUMIFS(Hulptabel!$AC$3:$AC$152,Hulptabel!$D$3:$D$152,$A5,Hulptabel!$I$3:$I$152,AO$3)</f>
        <v>0</v>
      </c>
      <c r="AP5" s="286">
        <f>SUMIFS(Hulptabel!$AC$3:$AC$152,Hulptabel!$D$3:$D$152,$A5,Hulptabel!$I$3:$I$152,AP$3)</f>
        <v>0</v>
      </c>
      <c r="AQ5" s="287">
        <f>SUMIFS(Hulptabel!$AC$3:$AC$152,Hulptabel!$D$3:$D$152,$A5,Hulptabel!$I$3:$I$152,AQ$3)</f>
        <v>0</v>
      </c>
    </row>
    <row r="6" spans="1:44" x14ac:dyDescent="0.25">
      <c r="A6" s="285" t="s">
        <v>242</v>
      </c>
      <c r="B6" s="281">
        <f>SUMIFS(Hulptabel!$AC$3:$AC$152,Hulptabel!$D$3:$D$152,A6)</f>
        <v>134880</v>
      </c>
      <c r="C6" s="281">
        <f t="shared" si="3"/>
        <v>0</v>
      </c>
      <c r="D6" s="286">
        <f>SUMIFS(Hulptabel!$AC$3:$AC$152,Hulptabel!$D$3:$D$152,$A6,Hulptabel!$I$3:$I$152,D$3)+SUMIFS(Hulptabel!$AC$3:$AC$152,Hulptabel!$D$3:$D$152,$A6,Hulptabel!$E$3:$E$152,2012)</f>
        <v>22480</v>
      </c>
      <c r="E6" s="286">
        <f>SUMIFS(Hulptabel!$AC$3:$AC$152,Hulptabel!$D$3:$D$152,$A6,Hulptabel!$I$3:$I$152,E$3)</f>
        <v>0</v>
      </c>
      <c r="F6" s="286">
        <f>SUMIFS(Hulptabel!$AC$3:$AC$152,Hulptabel!$D$3:$D$152,$A6,Hulptabel!$I$3:$I$152,F$3)</f>
        <v>0</v>
      </c>
      <c r="G6" s="286">
        <f>SUMIFS(Hulptabel!$AC$3:$AC$152,Hulptabel!$D$3:$D$152,$A6,Hulptabel!$I$3:$I$152,G$3)</f>
        <v>0</v>
      </c>
      <c r="H6" s="286">
        <f>SUMIFS(Hulptabel!$AC$3:$AC$152,Hulptabel!$D$3:$D$152,$A6,Hulptabel!$I$3:$I$152,H$3)</f>
        <v>0</v>
      </c>
      <c r="I6" s="286">
        <f>SUMIFS(Hulptabel!$AC$3:$AC$152,Hulptabel!$D$3:$D$152,$A6,Hulptabel!$I$3:$I$152,I$3)</f>
        <v>0</v>
      </c>
      <c r="J6" s="286">
        <f>SUMIFS(Hulptabel!$AC$3:$AC$152,Hulptabel!$D$3:$D$152,$A6,Hulptabel!$I$3:$I$152,J$3)</f>
        <v>0</v>
      </c>
      <c r="K6" s="286">
        <f>SUMIFS(Hulptabel!$AC$3:$AC$152,Hulptabel!$D$3:$D$152,$A6,Hulptabel!$I$3:$I$152,K$3)</f>
        <v>0</v>
      </c>
      <c r="L6" s="286">
        <f>SUMIFS(Hulptabel!$AC$3:$AC$152,Hulptabel!$D$3:$D$152,$A6,Hulptabel!$I$3:$I$152,L$3)</f>
        <v>0</v>
      </c>
      <c r="M6" s="286">
        <f>SUMIFS(Hulptabel!$AC$3:$AC$152,Hulptabel!$D$3:$D$152,$A6,Hulptabel!$I$3:$I$152,M$3)</f>
        <v>0</v>
      </c>
      <c r="N6" s="286">
        <f>SUMIFS(Hulptabel!$AC$3:$AC$152,Hulptabel!$D$3:$D$152,$A6,Hulptabel!$I$3:$I$152,N$3)</f>
        <v>0</v>
      </c>
      <c r="O6" s="286">
        <f>SUMIFS(Hulptabel!$AC$3:$AC$152,Hulptabel!$D$3:$D$152,$A6,Hulptabel!$I$3:$I$152,O$3)</f>
        <v>0</v>
      </c>
      <c r="P6" s="286">
        <f>SUMIFS(Hulptabel!$AC$3:$AC$152,Hulptabel!$D$3:$D$152,$A6,Hulptabel!$I$3:$I$152,P$3)</f>
        <v>0</v>
      </c>
      <c r="Q6" s="286">
        <f>SUMIFS(Hulptabel!$AC$3:$AC$152,Hulptabel!$D$3:$D$152,$A6,Hulptabel!$I$3:$I$152,Q$3)</f>
        <v>22480</v>
      </c>
      <c r="R6" s="286">
        <f>SUMIFS(Hulptabel!$AC$3:$AC$152,Hulptabel!$D$3:$D$152,$A6,Hulptabel!$I$3:$I$152,R$3)</f>
        <v>0</v>
      </c>
      <c r="S6" s="286">
        <f>SUMIFS(Hulptabel!$AC$3:$AC$152,Hulptabel!$D$3:$D$152,$A6,Hulptabel!$I$3:$I$152,S$3)</f>
        <v>0</v>
      </c>
      <c r="T6" s="286">
        <f>SUMIFS(Hulptabel!$AC$3:$AC$152,Hulptabel!$D$3:$D$152,$A6,Hulptabel!$I$3:$I$152,T$3)</f>
        <v>0</v>
      </c>
      <c r="U6" s="286">
        <f>SUMIFS(Hulptabel!$AC$3:$AC$152,Hulptabel!$D$3:$D$152,$A6,Hulptabel!$I$3:$I$152,U$3)</f>
        <v>0</v>
      </c>
      <c r="V6" s="286">
        <f>SUMIFS(Hulptabel!$AC$3:$AC$152,Hulptabel!$D$3:$D$152,$A6,Hulptabel!$I$3:$I$152,V$3)</f>
        <v>22480</v>
      </c>
      <c r="W6" s="286">
        <f>SUMIFS(Hulptabel!$AC$3:$AC$152,Hulptabel!$D$3:$D$152,$A6,Hulptabel!$I$3:$I$152,W$3)</f>
        <v>0</v>
      </c>
      <c r="X6" s="286">
        <f>SUMIFS(Hulptabel!$AC$3:$AC$152,Hulptabel!$D$3:$D$152,$A6,Hulptabel!$I$3:$I$152,X$3)</f>
        <v>22480</v>
      </c>
      <c r="Y6" s="286">
        <f>SUMIFS(Hulptabel!$AC$3:$AC$152,Hulptabel!$D$3:$D$152,$A6,Hulptabel!$I$3:$I$152,Y$3)</f>
        <v>0</v>
      </c>
      <c r="Z6" s="286">
        <f>SUMIFS(Hulptabel!$AC$3:$AC$152,Hulptabel!$D$3:$D$152,$A6,Hulptabel!$I$3:$I$152,Z$3)</f>
        <v>0</v>
      </c>
      <c r="AA6" s="286">
        <f>SUMIFS(Hulptabel!$AC$3:$AC$152,Hulptabel!$D$3:$D$152,$A6,Hulptabel!$I$3:$I$152,AA$3)</f>
        <v>0</v>
      </c>
      <c r="AB6" s="286">
        <f>SUMIFS(Hulptabel!$AC$3:$AC$152,Hulptabel!$D$3:$D$152,$A6,Hulptabel!$I$3:$I$152,AB$3)</f>
        <v>0</v>
      </c>
      <c r="AC6" s="286">
        <f>SUMIFS(Hulptabel!$AC$3:$AC$152,Hulptabel!$D$3:$D$152,$A6,Hulptabel!$I$3:$I$152,AC$3)</f>
        <v>22480</v>
      </c>
      <c r="AD6" s="286">
        <f>SUMIFS(Hulptabel!$AC$3:$AC$152,Hulptabel!$D$3:$D$152,$A6,Hulptabel!$I$3:$I$152,AD$3)</f>
        <v>0</v>
      </c>
      <c r="AE6" s="286">
        <f>SUMIFS(Hulptabel!$AC$3:$AC$152,Hulptabel!$D$3:$D$152,$A6,Hulptabel!$I$3:$I$152,AE$3)</f>
        <v>0</v>
      </c>
      <c r="AF6" s="286">
        <f>SUMIFS(Hulptabel!$AC$3:$AC$152,Hulptabel!$D$3:$D$152,$A6,Hulptabel!$I$3:$I$152,AF$3)</f>
        <v>0</v>
      </c>
      <c r="AG6" s="286">
        <f>SUMIFS(Hulptabel!$AC$3:$AC$152,Hulptabel!$D$3:$D$152,$A6,Hulptabel!$I$3:$I$152,AG$3)</f>
        <v>22480</v>
      </c>
      <c r="AH6" s="286">
        <f>SUMIFS(Hulptabel!$AC$3:$AC$152,Hulptabel!$D$3:$D$152,$A6,Hulptabel!$I$3:$I$152,AH$3)</f>
        <v>0</v>
      </c>
      <c r="AI6" s="286">
        <f>SUMIFS(Hulptabel!$AC$3:$AC$152,Hulptabel!$D$3:$D$152,$A6,Hulptabel!$I$3:$I$152,AI$3)</f>
        <v>0</v>
      </c>
      <c r="AJ6" s="286">
        <f>SUMIFS(Hulptabel!$AC$3:$AC$152,Hulptabel!$D$3:$D$152,$A6,Hulptabel!$I$3:$I$152,AJ$3)</f>
        <v>0</v>
      </c>
      <c r="AK6" s="286">
        <f>SUMIFS(Hulptabel!$AC$3:$AC$152,Hulptabel!$D$3:$D$152,$A6,Hulptabel!$I$3:$I$152,AK$3)</f>
        <v>0</v>
      </c>
      <c r="AL6" s="286">
        <f>SUMIFS(Hulptabel!$AC$3:$AC$152,Hulptabel!$D$3:$D$152,$A6,Hulptabel!$I$3:$I$152,AL$3)</f>
        <v>0</v>
      </c>
      <c r="AM6" s="286">
        <f>SUMIFS(Hulptabel!$AC$3:$AC$152,Hulptabel!$D$3:$D$152,$A6,Hulptabel!$I$3:$I$152,AM$3)</f>
        <v>0</v>
      </c>
      <c r="AN6" s="286">
        <f>SUMIFS(Hulptabel!$AC$3:$AC$152,Hulptabel!$D$3:$D$152,$A6,Hulptabel!$I$3:$I$152,AN$3)</f>
        <v>0</v>
      </c>
      <c r="AO6" s="286">
        <f>SUMIFS(Hulptabel!$AC$3:$AC$152,Hulptabel!$D$3:$D$152,$A6,Hulptabel!$I$3:$I$152,AO$3)</f>
        <v>0</v>
      </c>
      <c r="AP6" s="286">
        <f>SUMIFS(Hulptabel!$AC$3:$AC$152,Hulptabel!$D$3:$D$152,$A6,Hulptabel!$I$3:$I$152,AP$3)</f>
        <v>0</v>
      </c>
      <c r="AQ6" s="287">
        <f>SUMIFS(Hulptabel!$AC$3:$AC$152,Hulptabel!$D$3:$D$152,$A6,Hulptabel!$I$3:$I$152,AQ$3)</f>
        <v>0</v>
      </c>
    </row>
    <row r="7" spans="1:44" x14ac:dyDescent="0.25">
      <c r="A7" s="285" t="s">
        <v>352</v>
      </c>
      <c r="B7" s="281">
        <f>SUMIFS(Hulptabel!$AC$3:$AC$152,Hulptabel!$D$3:$D$152,A7)</f>
        <v>0</v>
      </c>
      <c r="C7" s="281">
        <f t="shared" si="3"/>
        <v>0</v>
      </c>
      <c r="D7" s="286">
        <f>SUMIFS(Hulptabel!$AC$3:$AC$152,Hulptabel!$D$3:$D$152,$A7,Hulptabel!$I$3:$I$152,D$3)+SUMIFS(Hulptabel!$AC$3:$AC$152,Hulptabel!$D$3:$D$152,$A7,Hulptabel!$E$3:$E$152,2012)</f>
        <v>0</v>
      </c>
      <c r="E7" s="286">
        <f>SUMIFS(Hulptabel!$AC$3:$AC$152,Hulptabel!$D$3:$D$152,$A7,Hulptabel!$I$3:$I$152,E$3)</f>
        <v>0</v>
      </c>
      <c r="F7" s="286">
        <f>SUMIFS(Hulptabel!$AC$3:$AC$152,Hulptabel!$D$3:$D$152,$A7,Hulptabel!$I$3:$I$152,F$3)</f>
        <v>0</v>
      </c>
      <c r="G7" s="286">
        <f>SUMIFS(Hulptabel!$AC$3:$AC$152,Hulptabel!$D$3:$D$152,$A7,Hulptabel!$I$3:$I$152,G$3)</f>
        <v>0</v>
      </c>
      <c r="H7" s="286">
        <f>SUMIFS(Hulptabel!$AC$3:$AC$152,Hulptabel!$D$3:$D$152,$A7,Hulptabel!$I$3:$I$152,H$3)</f>
        <v>0</v>
      </c>
      <c r="I7" s="286">
        <f>SUMIFS(Hulptabel!$AC$3:$AC$152,Hulptabel!$D$3:$D$152,$A7,Hulptabel!$I$3:$I$152,I$3)</f>
        <v>0</v>
      </c>
      <c r="J7" s="286">
        <f>SUMIFS(Hulptabel!$AC$3:$AC$152,Hulptabel!$D$3:$D$152,$A7,Hulptabel!$I$3:$I$152,J$3)</f>
        <v>0</v>
      </c>
      <c r="K7" s="286">
        <f>SUMIFS(Hulptabel!$AC$3:$AC$152,Hulptabel!$D$3:$D$152,$A7,Hulptabel!$I$3:$I$152,K$3)</f>
        <v>0</v>
      </c>
      <c r="L7" s="286">
        <f>SUMIFS(Hulptabel!$AC$3:$AC$152,Hulptabel!$D$3:$D$152,$A7,Hulptabel!$I$3:$I$152,L$3)</f>
        <v>0</v>
      </c>
      <c r="M7" s="286">
        <f>SUMIFS(Hulptabel!$AC$3:$AC$152,Hulptabel!$D$3:$D$152,$A7,Hulptabel!$I$3:$I$152,M$3)</f>
        <v>0</v>
      </c>
      <c r="N7" s="286">
        <f>SUMIFS(Hulptabel!$AC$3:$AC$152,Hulptabel!$D$3:$D$152,$A7,Hulptabel!$I$3:$I$152,N$3)</f>
        <v>0</v>
      </c>
      <c r="O7" s="286">
        <f>SUMIFS(Hulptabel!$AC$3:$AC$152,Hulptabel!$D$3:$D$152,$A7,Hulptabel!$I$3:$I$152,O$3)</f>
        <v>0</v>
      </c>
      <c r="P7" s="286">
        <f>SUMIFS(Hulptabel!$AC$3:$AC$152,Hulptabel!$D$3:$D$152,$A7,Hulptabel!$I$3:$I$152,P$3)</f>
        <v>0</v>
      </c>
      <c r="Q7" s="286">
        <f>SUMIFS(Hulptabel!$AC$3:$AC$152,Hulptabel!$D$3:$D$152,$A7,Hulptabel!$I$3:$I$152,Q$3)</f>
        <v>0</v>
      </c>
      <c r="R7" s="286">
        <f>SUMIFS(Hulptabel!$AC$3:$AC$152,Hulptabel!$D$3:$D$152,$A7,Hulptabel!$I$3:$I$152,R$3)</f>
        <v>0</v>
      </c>
      <c r="S7" s="286">
        <f>SUMIFS(Hulptabel!$AC$3:$AC$152,Hulptabel!$D$3:$D$152,$A7,Hulptabel!$I$3:$I$152,S$3)</f>
        <v>0</v>
      </c>
      <c r="T7" s="286">
        <f>SUMIFS(Hulptabel!$AC$3:$AC$152,Hulptabel!$D$3:$D$152,$A7,Hulptabel!$I$3:$I$152,T$3)</f>
        <v>0</v>
      </c>
      <c r="U7" s="286">
        <f>SUMIFS(Hulptabel!$AC$3:$AC$152,Hulptabel!$D$3:$D$152,$A7,Hulptabel!$I$3:$I$152,U$3)</f>
        <v>0</v>
      </c>
      <c r="V7" s="286">
        <f>SUMIFS(Hulptabel!$AC$3:$AC$152,Hulptabel!$D$3:$D$152,$A7,Hulptabel!$I$3:$I$152,V$3)</f>
        <v>0</v>
      </c>
      <c r="W7" s="286">
        <f>SUMIFS(Hulptabel!$AC$3:$AC$152,Hulptabel!$D$3:$D$152,$A7,Hulptabel!$I$3:$I$152,W$3)</f>
        <v>0</v>
      </c>
      <c r="X7" s="286">
        <f>SUMIFS(Hulptabel!$AC$3:$AC$152,Hulptabel!$D$3:$D$152,$A7,Hulptabel!$I$3:$I$152,X$3)</f>
        <v>0</v>
      </c>
      <c r="Y7" s="286">
        <f>SUMIFS(Hulptabel!$AC$3:$AC$152,Hulptabel!$D$3:$D$152,$A7,Hulptabel!$I$3:$I$152,Y$3)</f>
        <v>0</v>
      </c>
      <c r="Z7" s="286">
        <f>SUMIFS(Hulptabel!$AC$3:$AC$152,Hulptabel!$D$3:$D$152,$A7,Hulptabel!$I$3:$I$152,Z$3)</f>
        <v>0</v>
      </c>
      <c r="AA7" s="286">
        <f>SUMIFS(Hulptabel!$AC$3:$AC$152,Hulptabel!$D$3:$D$152,$A7,Hulptabel!$I$3:$I$152,AA$3)</f>
        <v>0</v>
      </c>
      <c r="AB7" s="286">
        <f>SUMIFS(Hulptabel!$AC$3:$AC$152,Hulptabel!$D$3:$D$152,$A7,Hulptabel!$I$3:$I$152,AB$3)</f>
        <v>0</v>
      </c>
      <c r="AC7" s="286">
        <f>SUMIFS(Hulptabel!$AC$3:$AC$152,Hulptabel!$D$3:$D$152,$A7,Hulptabel!$I$3:$I$152,AC$3)</f>
        <v>0</v>
      </c>
      <c r="AD7" s="286">
        <f>SUMIFS(Hulptabel!$AC$3:$AC$152,Hulptabel!$D$3:$D$152,$A7,Hulptabel!$I$3:$I$152,AD$3)</f>
        <v>0</v>
      </c>
      <c r="AE7" s="286">
        <f>SUMIFS(Hulptabel!$AC$3:$AC$152,Hulptabel!$D$3:$D$152,$A7,Hulptabel!$I$3:$I$152,AE$3)</f>
        <v>0</v>
      </c>
      <c r="AF7" s="286">
        <f>SUMIFS(Hulptabel!$AC$3:$AC$152,Hulptabel!$D$3:$D$152,$A7,Hulptabel!$I$3:$I$152,AF$3)</f>
        <v>0</v>
      </c>
      <c r="AG7" s="286">
        <f>SUMIFS(Hulptabel!$AC$3:$AC$152,Hulptabel!$D$3:$D$152,$A7,Hulptabel!$I$3:$I$152,AG$3)</f>
        <v>0</v>
      </c>
      <c r="AH7" s="286">
        <f>SUMIFS(Hulptabel!$AC$3:$AC$152,Hulptabel!$D$3:$D$152,$A7,Hulptabel!$I$3:$I$152,AH$3)</f>
        <v>0</v>
      </c>
      <c r="AI7" s="286">
        <f>SUMIFS(Hulptabel!$AC$3:$AC$152,Hulptabel!$D$3:$D$152,$A7,Hulptabel!$I$3:$I$152,AI$3)</f>
        <v>0</v>
      </c>
      <c r="AJ7" s="286">
        <f>SUMIFS(Hulptabel!$AC$3:$AC$152,Hulptabel!$D$3:$D$152,$A7,Hulptabel!$I$3:$I$152,AJ$3)</f>
        <v>0</v>
      </c>
      <c r="AK7" s="286">
        <f>SUMIFS(Hulptabel!$AC$3:$AC$152,Hulptabel!$D$3:$D$152,$A7,Hulptabel!$I$3:$I$152,AK$3)</f>
        <v>0</v>
      </c>
      <c r="AL7" s="286">
        <f>SUMIFS(Hulptabel!$AC$3:$AC$152,Hulptabel!$D$3:$D$152,$A7,Hulptabel!$I$3:$I$152,AL$3)</f>
        <v>0</v>
      </c>
      <c r="AM7" s="286">
        <f>SUMIFS(Hulptabel!$AC$3:$AC$152,Hulptabel!$D$3:$D$152,$A7,Hulptabel!$I$3:$I$152,AM$3)</f>
        <v>0</v>
      </c>
      <c r="AN7" s="286">
        <f>SUMIFS(Hulptabel!$AC$3:$AC$152,Hulptabel!$D$3:$D$152,$A7,Hulptabel!$I$3:$I$152,AN$3)</f>
        <v>0</v>
      </c>
      <c r="AO7" s="286">
        <f>SUMIFS(Hulptabel!$AC$3:$AC$152,Hulptabel!$D$3:$D$152,$A7,Hulptabel!$I$3:$I$152,AO$3)</f>
        <v>0</v>
      </c>
      <c r="AP7" s="286">
        <f>SUMIFS(Hulptabel!$AC$3:$AC$152,Hulptabel!$D$3:$D$152,$A7,Hulptabel!$I$3:$I$152,AP$3)</f>
        <v>0</v>
      </c>
      <c r="AQ7" s="287">
        <f>SUMIFS(Hulptabel!$AC$3:$AC$152,Hulptabel!$D$3:$D$152,$A7,Hulptabel!$I$3:$I$152,AQ$3)</f>
        <v>0</v>
      </c>
    </row>
    <row r="8" spans="1:44" x14ac:dyDescent="0.25">
      <c r="A8" s="285" t="s">
        <v>319</v>
      </c>
      <c r="B8" s="281">
        <f>SUMIFS(Hulptabel!$AC$3:$AC$152,Hulptabel!$D$3:$D$152,A8)</f>
        <v>12980</v>
      </c>
      <c r="C8" s="281">
        <f t="shared" si="3"/>
        <v>0</v>
      </c>
      <c r="D8" s="286">
        <f>SUMIFS(Hulptabel!$AC$3:$AC$152,Hulptabel!$D$3:$D$152,$A8,Hulptabel!$I$3:$I$152,D$3)+SUMIFS(Hulptabel!$AC$3:$AC$152,Hulptabel!$D$3:$D$152,$A8,Hulptabel!$E$3:$E$152,2012)</f>
        <v>0</v>
      </c>
      <c r="E8" s="286">
        <f>SUMIFS(Hulptabel!$AC$3:$AC$152,Hulptabel!$D$3:$D$152,$A8,Hulptabel!$I$3:$I$152,E$3)</f>
        <v>0</v>
      </c>
      <c r="F8" s="286">
        <f>SUMIFS(Hulptabel!$AC$3:$AC$152,Hulptabel!$D$3:$D$152,$A8,Hulptabel!$I$3:$I$152,F$3)</f>
        <v>0</v>
      </c>
      <c r="G8" s="286">
        <f>SUMIFS(Hulptabel!$AC$3:$AC$152,Hulptabel!$D$3:$D$152,$A8,Hulptabel!$I$3:$I$152,G$3)</f>
        <v>0</v>
      </c>
      <c r="H8" s="286">
        <f>SUMIFS(Hulptabel!$AC$3:$AC$152,Hulptabel!$D$3:$D$152,$A8,Hulptabel!$I$3:$I$152,H$3)</f>
        <v>0</v>
      </c>
      <c r="I8" s="286">
        <f>SUMIFS(Hulptabel!$AC$3:$AC$152,Hulptabel!$D$3:$D$152,$A8,Hulptabel!$I$3:$I$152,I$3)</f>
        <v>0</v>
      </c>
      <c r="J8" s="286">
        <f>SUMIFS(Hulptabel!$AC$3:$AC$152,Hulptabel!$D$3:$D$152,$A8,Hulptabel!$I$3:$I$152,J$3)</f>
        <v>0</v>
      </c>
      <c r="K8" s="286">
        <f>SUMIFS(Hulptabel!$AC$3:$AC$152,Hulptabel!$D$3:$D$152,$A8,Hulptabel!$I$3:$I$152,K$3)</f>
        <v>0</v>
      </c>
      <c r="L8" s="286">
        <f>SUMIFS(Hulptabel!$AC$3:$AC$152,Hulptabel!$D$3:$D$152,$A8,Hulptabel!$I$3:$I$152,L$3)</f>
        <v>0</v>
      </c>
      <c r="M8" s="286">
        <f>SUMIFS(Hulptabel!$AC$3:$AC$152,Hulptabel!$D$3:$D$152,$A8,Hulptabel!$I$3:$I$152,M$3)</f>
        <v>0</v>
      </c>
      <c r="N8" s="286">
        <f>SUMIFS(Hulptabel!$AC$3:$AC$152,Hulptabel!$D$3:$D$152,$A8,Hulptabel!$I$3:$I$152,N$3)</f>
        <v>0</v>
      </c>
      <c r="O8" s="286">
        <f>SUMIFS(Hulptabel!$AC$3:$AC$152,Hulptabel!$D$3:$D$152,$A8,Hulptabel!$I$3:$I$152,O$3)</f>
        <v>0</v>
      </c>
      <c r="P8" s="286">
        <f>SUMIFS(Hulptabel!$AC$3:$AC$152,Hulptabel!$D$3:$D$152,$A8,Hulptabel!$I$3:$I$152,P$3)</f>
        <v>12980</v>
      </c>
      <c r="Q8" s="286">
        <f>SUMIFS(Hulptabel!$AC$3:$AC$152,Hulptabel!$D$3:$D$152,$A8,Hulptabel!$I$3:$I$152,Q$3)</f>
        <v>0</v>
      </c>
      <c r="R8" s="286">
        <f>SUMIFS(Hulptabel!$AC$3:$AC$152,Hulptabel!$D$3:$D$152,$A8,Hulptabel!$I$3:$I$152,R$3)</f>
        <v>0</v>
      </c>
      <c r="S8" s="286">
        <f>SUMIFS(Hulptabel!$AC$3:$AC$152,Hulptabel!$D$3:$D$152,$A8,Hulptabel!$I$3:$I$152,S$3)</f>
        <v>0</v>
      </c>
      <c r="T8" s="286">
        <f>SUMIFS(Hulptabel!$AC$3:$AC$152,Hulptabel!$D$3:$D$152,$A8,Hulptabel!$I$3:$I$152,T$3)</f>
        <v>0</v>
      </c>
      <c r="U8" s="286">
        <f>SUMIFS(Hulptabel!$AC$3:$AC$152,Hulptabel!$D$3:$D$152,$A8,Hulptabel!$I$3:$I$152,U$3)</f>
        <v>0</v>
      </c>
      <c r="V8" s="286">
        <f>SUMIFS(Hulptabel!$AC$3:$AC$152,Hulptabel!$D$3:$D$152,$A8,Hulptabel!$I$3:$I$152,V$3)</f>
        <v>0</v>
      </c>
      <c r="W8" s="286">
        <f>SUMIFS(Hulptabel!$AC$3:$AC$152,Hulptabel!$D$3:$D$152,$A8,Hulptabel!$I$3:$I$152,W$3)</f>
        <v>0</v>
      </c>
      <c r="X8" s="286">
        <f>SUMIFS(Hulptabel!$AC$3:$AC$152,Hulptabel!$D$3:$D$152,$A8,Hulptabel!$I$3:$I$152,X$3)</f>
        <v>0</v>
      </c>
      <c r="Y8" s="286">
        <f>SUMIFS(Hulptabel!$AC$3:$AC$152,Hulptabel!$D$3:$D$152,$A8,Hulptabel!$I$3:$I$152,Y$3)</f>
        <v>0</v>
      </c>
      <c r="Z8" s="286">
        <f>SUMIFS(Hulptabel!$AC$3:$AC$152,Hulptabel!$D$3:$D$152,$A8,Hulptabel!$I$3:$I$152,Z$3)</f>
        <v>0</v>
      </c>
      <c r="AA8" s="286">
        <f>SUMIFS(Hulptabel!$AC$3:$AC$152,Hulptabel!$D$3:$D$152,$A8,Hulptabel!$I$3:$I$152,AA$3)</f>
        <v>0</v>
      </c>
      <c r="AB8" s="286">
        <f>SUMIFS(Hulptabel!$AC$3:$AC$152,Hulptabel!$D$3:$D$152,$A8,Hulptabel!$I$3:$I$152,AB$3)</f>
        <v>0</v>
      </c>
      <c r="AC8" s="286">
        <f>SUMIFS(Hulptabel!$AC$3:$AC$152,Hulptabel!$D$3:$D$152,$A8,Hulptabel!$I$3:$I$152,AC$3)</f>
        <v>0</v>
      </c>
      <c r="AD8" s="286">
        <f>SUMIFS(Hulptabel!$AC$3:$AC$152,Hulptabel!$D$3:$D$152,$A8,Hulptabel!$I$3:$I$152,AD$3)</f>
        <v>0</v>
      </c>
      <c r="AE8" s="286">
        <f>SUMIFS(Hulptabel!$AC$3:$AC$152,Hulptabel!$D$3:$D$152,$A8,Hulptabel!$I$3:$I$152,AE$3)</f>
        <v>0</v>
      </c>
      <c r="AF8" s="286">
        <f>SUMIFS(Hulptabel!$AC$3:$AC$152,Hulptabel!$D$3:$D$152,$A8,Hulptabel!$I$3:$I$152,AF$3)</f>
        <v>0</v>
      </c>
      <c r="AG8" s="286">
        <f>SUMIFS(Hulptabel!$AC$3:$AC$152,Hulptabel!$D$3:$D$152,$A8,Hulptabel!$I$3:$I$152,AG$3)</f>
        <v>0</v>
      </c>
      <c r="AH8" s="286">
        <f>SUMIFS(Hulptabel!$AC$3:$AC$152,Hulptabel!$D$3:$D$152,$A8,Hulptabel!$I$3:$I$152,AH$3)</f>
        <v>0</v>
      </c>
      <c r="AI8" s="286">
        <f>SUMIFS(Hulptabel!$AC$3:$AC$152,Hulptabel!$D$3:$D$152,$A8,Hulptabel!$I$3:$I$152,AI$3)</f>
        <v>0</v>
      </c>
      <c r="AJ8" s="286">
        <f>SUMIFS(Hulptabel!$AC$3:$AC$152,Hulptabel!$D$3:$D$152,$A8,Hulptabel!$I$3:$I$152,AJ$3)</f>
        <v>0</v>
      </c>
      <c r="AK8" s="286">
        <f>SUMIFS(Hulptabel!$AC$3:$AC$152,Hulptabel!$D$3:$D$152,$A8,Hulptabel!$I$3:$I$152,AK$3)</f>
        <v>0</v>
      </c>
      <c r="AL8" s="286">
        <f>SUMIFS(Hulptabel!$AC$3:$AC$152,Hulptabel!$D$3:$D$152,$A8,Hulptabel!$I$3:$I$152,AL$3)</f>
        <v>0</v>
      </c>
      <c r="AM8" s="286">
        <f>SUMIFS(Hulptabel!$AC$3:$AC$152,Hulptabel!$D$3:$D$152,$A8,Hulptabel!$I$3:$I$152,AM$3)</f>
        <v>0</v>
      </c>
      <c r="AN8" s="286">
        <f>SUMIFS(Hulptabel!$AC$3:$AC$152,Hulptabel!$D$3:$D$152,$A8,Hulptabel!$I$3:$I$152,AN$3)</f>
        <v>0</v>
      </c>
      <c r="AO8" s="286">
        <f>SUMIFS(Hulptabel!$AC$3:$AC$152,Hulptabel!$D$3:$D$152,$A8,Hulptabel!$I$3:$I$152,AO$3)</f>
        <v>0</v>
      </c>
      <c r="AP8" s="286">
        <f>SUMIFS(Hulptabel!$AC$3:$AC$152,Hulptabel!$D$3:$D$152,$A8,Hulptabel!$I$3:$I$152,AP$3)</f>
        <v>0</v>
      </c>
      <c r="AQ8" s="287">
        <f>SUMIFS(Hulptabel!$AC$3:$AC$152,Hulptabel!$D$3:$D$152,$A8,Hulptabel!$I$3:$I$152,AQ$3)</f>
        <v>0</v>
      </c>
    </row>
    <row r="9" spans="1:44" x14ac:dyDescent="0.25">
      <c r="A9" s="285" t="s">
        <v>314</v>
      </c>
      <c r="B9" s="281">
        <f>SUMIFS(Hulptabel!$AC$3:$AC$152,Hulptabel!$D$3:$D$152,A9)</f>
        <v>0</v>
      </c>
      <c r="C9" s="281">
        <f t="shared" si="3"/>
        <v>0</v>
      </c>
      <c r="D9" s="286">
        <f>SUMIFS(Hulptabel!$AC$3:$AC$152,Hulptabel!$D$3:$D$152,$A9,Hulptabel!$I$3:$I$152,D$3)+SUMIFS(Hulptabel!$AC$3:$AC$152,Hulptabel!$D$3:$D$152,$A9,Hulptabel!$E$3:$E$152,2012)</f>
        <v>0</v>
      </c>
      <c r="E9" s="286">
        <f>SUMIFS(Hulptabel!$AC$3:$AC$152,Hulptabel!$D$3:$D$152,$A9,Hulptabel!$I$3:$I$152,E$3)</f>
        <v>0</v>
      </c>
      <c r="F9" s="286">
        <f>SUMIFS(Hulptabel!$AC$3:$AC$152,Hulptabel!$D$3:$D$152,$A9,Hulptabel!$I$3:$I$152,F$3)</f>
        <v>0</v>
      </c>
      <c r="G9" s="286">
        <f>SUMIFS(Hulptabel!$AC$3:$AC$152,Hulptabel!$D$3:$D$152,$A9,Hulptabel!$I$3:$I$152,G$3)</f>
        <v>0</v>
      </c>
      <c r="H9" s="286">
        <f>SUMIFS(Hulptabel!$AC$3:$AC$152,Hulptabel!$D$3:$D$152,$A9,Hulptabel!$I$3:$I$152,H$3)</f>
        <v>0</v>
      </c>
      <c r="I9" s="286">
        <f>SUMIFS(Hulptabel!$AC$3:$AC$152,Hulptabel!$D$3:$D$152,$A9,Hulptabel!$I$3:$I$152,I$3)</f>
        <v>0</v>
      </c>
      <c r="J9" s="286">
        <f>SUMIFS(Hulptabel!$AC$3:$AC$152,Hulptabel!$D$3:$D$152,$A9,Hulptabel!$I$3:$I$152,J$3)</f>
        <v>0</v>
      </c>
      <c r="K9" s="286">
        <f>SUMIFS(Hulptabel!$AC$3:$AC$152,Hulptabel!$D$3:$D$152,$A9,Hulptabel!$I$3:$I$152,K$3)</f>
        <v>0</v>
      </c>
      <c r="L9" s="286">
        <f>SUMIFS(Hulptabel!$AC$3:$AC$152,Hulptabel!$D$3:$D$152,$A9,Hulptabel!$I$3:$I$152,L$3)</f>
        <v>0</v>
      </c>
      <c r="M9" s="286">
        <f>SUMIFS(Hulptabel!$AC$3:$AC$152,Hulptabel!$D$3:$D$152,$A9,Hulptabel!$I$3:$I$152,M$3)</f>
        <v>0</v>
      </c>
      <c r="N9" s="286">
        <f>SUMIFS(Hulptabel!$AC$3:$AC$152,Hulptabel!$D$3:$D$152,$A9,Hulptabel!$I$3:$I$152,N$3)</f>
        <v>0</v>
      </c>
      <c r="O9" s="286">
        <f>SUMIFS(Hulptabel!$AC$3:$AC$152,Hulptabel!$D$3:$D$152,$A9,Hulptabel!$I$3:$I$152,O$3)</f>
        <v>0</v>
      </c>
      <c r="P9" s="286">
        <f>SUMIFS(Hulptabel!$AC$3:$AC$152,Hulptabel!$D$3:$D$152,$A9,Hulptabel!$I$3:$I$152,P$3)</f>
        <v>0</v>
      </c>
      <c r="Q9" s="286">
        <f>SUMIFS(Hulptabel!$AC$3:$AC$152,Hulptabel!$D$3:$D$152,$A9,Hulptabel!$I$3:$I$152,Q$3)</f>
        <v>0</v>
      </c>
      <c r="R9" s="286">
        <f>SUMIFS(Hulptabel!$AC$3:$AC$152,Hulptabel!$D$3:$D$152,$A9,Hulptabel!$I$3:$I$152,R$3)</f>
        <v>0</v>
      </c>
      <c r="S9" s="286">
        <f>SUMIFS(Hulptabel!$AC$3:$AC$152,Hulptabel!$D$3:$D$152,$A9,Hulptabel!$I$3:$I$152,S$3)</f>
        <v>0</v>
      </c>
      <c r="T9" s="286">
        <f>SUMIFS(Hulptabel!$AC$3:$AC$152,Hulptabel!$D$3:$D$152,$A9,Hulptabel!$I$3:$I$152,T$3)</f>
        <v>0</v>
      </c>
      <c r="U9" s="286">
        <f>SUMIFS(Hulptabel!$AC$3:$AC$152,Hulptabel!$D$3:$D$152,$A9,Hulptabel!$I$3:$I$152,U$3)</f>
        <v>0</v>
      </c>
      <c r="V9" s="286">
        <f>SUMIFS(Hulptabel!$AC$3:$AC$152,Hulptabel!$D$3:$D$152,$A9,Hulptabel!$I$3:$I$152,V$3)</f>
        <v>0</v>
      </c>
      <c r="W9" s="286">
        <f>SUMIFS(Hulptabel!$AC$3:$AC$152,Hulptabel!$D$3:$D$152,$A9,Hulptabel!$I$3:$I$152,W$3)</f>
        <v>0</v>
      </c>
      <c r="X9" s="286">
        <f>SUMIFS(Hulptabel!$AC$3:$AC$152,Hulptabel!$D$3:$D$152,$A9,Hulptabel!$I$3:$I$152,X$3)</f>
        <v>0</v>
      </c>
      <c r="Y9" s="286">
        <f>SUMIFS(Hulptabel!$AC$3:$AC$152,Hulptabel!$D$3:$D$152,$A9,Hulptabel!$I$3:$I$152,Y$3)</f>
        <v>0</v>
      </c>
      <c r="Z9" s="286">
        <f>SUMIFS(Hulptabel!$AC$3:$AC$152,Hulptabel!$D$3:$D$152,$A9,Hulptabel!$I$3:$I$152,Z$3)</f>
        <v>0</v>
      </c>
      <c r="AA9" s="286">
        <f>SUMIFS(Hulptabel!$AC$3:$AC$152,Hulptabel!$D$3:$D$152,$A9,Hulptabel!$I$3:$I$152,AA$3)</f>
        <v>0</v>
      </c>
      <c r="AB9" s="286">
        <f>SUMIFS(Hulptabel!$AC$3:$AC$152,Hulptabel!$D$3:$D$152,$A9,Hulptabel!$I$3:$I$152,AB$3)</f>
        <v>0</v>
      </c>
      <c r="AC9" s="286">
        <f>SUMIFS(Hulptabel!$AC$3:$AC$152,Hulptabel!$D$3:$D$152,$A9,Hulptabel!$I$3:$I$152,AC$3)</f>
        <v>0</v>
      </c>
      <c r="AD9" s="286">
        <f>SUMIFS(Hulptabel!$AC$3:$AC$152,Hulptabel!$D$3:$D$152,$A9,Hulptabel!$I$3:$I$152,AD$3)</f>
        <v>0</v>
      </c>
      <c r="AE9" s="286">
        <f>SUMIFS(Hulptabel!$AC$3:$AC$152,Hulptabel!$D$3:$D$152,$A9,Hulptabel!$I$3:$I$152,AE$3)</f>
        <v>0</v>
      </c>
      <c r="AF9" s="286">
        <f>SUMIFS(Hulptabel!$AC$3:$AC$152,Hulptabel!$D$3:$D$152,$A9,Hulptabel!$I$3:$I$152,AF$3)</f>
        <v>0</v>
      </c>
      <c r="AG9" s="286">
        <f>SUMIFS(Hulptabel!$AC$3:$AC$152,Hulptabel!$D$3:$D$152,$A9,Hulptabel!$I$3:$I$152,AG$3)</f>
        <v>0</v>
      </c>
      <c r="AH9" s="286">
        <f>SUMIFS(Hulptabel!$AC$3:$AC$152,Hulptabel!$D$3:$D$152,$A9,Hulptabel!$I$3:$I$152,AH$3)</f>
        <v>0</v>
      </c>
      <c r="AI9" s="286">
        <f>SUMIFS(Hulptabel!$AC$3:$AC$152,Hulptabel!$D$3:$D$152,$A9,Hulptabel!$I$3:$I$152,AI$3)</f>
        <v>0</v>
      </c>
      <c r="AJ9" s="286">
        <f>SUMIFS(Hulptabel!$AC$3:$AC$152,Hulptabel!$D$3:$D$152,$A9,Hulptabel!$I$3:$I$152,AJ$3)</f>
        <v>0</v>
      </c>
      <c r="AK9" s="286">
        <f>SUMIFS(Hulptabel!$AC$3:$AC$152,Hulptabel!$D$3:$D$152,$A9,Hulptabel!$I$3:$I$152,AK$3)</f>
        <v>0</v>
      </c>
      <c r="AL9" s="286">
        <f>SUMIFS(Hulptabel!$AC$3:$AC$152,Hulptabel!$D$3:$D$152,$A9,Hulptabel!$I$3:$I$152,AL$3)</f>
        <v>0</v>
      </c>
      <c r="AM9" s="286">
        <f>SUMIFS(Hulptabel!$AC$3:$AC$152,Hulptabel!$D$3:$D$152,$A9,Hulptabel!$I$3:$I$152,AM$3)</f>
        <v>0</v>
      </c>
      <c r="AN9" s="286">
        <f>SUMIFS(Hulptabel!$AC$3:$AC$152,Hulptabel!$D$3:$D$152,$A9,Hulptabel!$I$3:$I$152,AN$3)</f>
        <v>0</v>
      </c>
      <c r="AO9" s="286">
        <f>SUMIFS(Hulptabel!$AC$3:$AC$152,Hulptabel!$D$3:$D$152,$A9,Hulptabel!$I$3:$I$152,AO$3)</f>
        <v>0</v>
      </c>
      <c r="AP9" s="286">
        <f>SUMIFS(Hulptabel!$AC$3:$AC$152,Hulptabel!$D$3:$D$152,$A9,Hulptabel!$I$3:$I$152,AP$3)</f>
        <v>0</v>
      </c>
      <c r="AQ9" s="287">
        <f>SUMIFS(Hulptabel!$AC$3:$AC$152,Hulptabel!$D$3:$D$152,$A9,Hulptabel!$I$3:$I$152,AQ$3)</f>
        <v>0</v>
      </c>
    </row>
    <row r="10" spans="1:44" x14ac:dyDescent="0.25">
      <c r="A10" s="285" t="s">
        <v>304</v>
      </c>
      <c r="B10" s="281">
        <f>SUMIFS(Hulptabel!$AC$3:$AC$152,Hulptabel!$D$3:$D$152,A10)</f>
        <v>0</v>
      </c>
      <c r="C10" s="281">
        <f t="shared" si="3"/>
        <v>0</v>
      </c>
      <c r="D10" s="286">
        <f>SUMIFS(Hulptabel!$AC$3:$AC$152,Hulptabel!$D$3:$D$152,$A10,Hulptabel!$I$3:$I$152,D$3)+SUMIFS(Hulptabel!$AC$3:$AC$152,Hulptabel!$D$3:$D$152,$A10,Hulptabel!$E$3:$E$152,2012)</f>
        <v>0</v>
      </c>
      <c r="E10" s="286">
        <f>SUMIFS(Hulptabel!$AC$3:$AC$152,Hulptabel!$D$3:$D$152,$A10,Hulptabel!$I$3:$I$152,E$3)</f>
        <v>0</v>
      </c>
      <c r="F10" s="286">
        <f>SUMIFS(Hulptabel!$AC$3:$AC$152,Hulptabel!$D$3:$D$152,$A10,Hulptabel!$I$3:$I$152,F$3)</f>
        <v>0</v>
      </c>
      <c r="G10" s="286">
        <f>SUMIFS(Hulptabel!$AC$3:$AC$152,Hulptabel!$D$3:$D$152,$A10,Hulptabel!$I$3:$I$152,G$3)</f>
        <v>0</v>
      </c>
      <c r="H10" s="286">
        <f>SUMIFS(Hulptabel!$AC$3:$AC$152,Hulptabel!$D$3:$D$152,$A10,Hulptabel!$I$3:$I$152,H$3)</f>
        <v>0</v>
      </c>
      <c r="I10" s="286">
        <f>SUMIFS(Hulptabel!$AC$3:$AC$152,Hulptabel!$D$3:$D$152,$A10,Hulptabel!$I$3:$I$152,I$3)</f>
        <v>0</v>
      </c>
      <c r="J10" s="286">
        <f>SUMIFS(Hulptabel!$AC$3:$AC$152,Hulptabel!$D$3:$D$152,$A10,Hulptabel!$I$3:$I$152,J$3)</f>
        <v>0</v>
      </c>
      <c r="K10" s="286">
        <f>SUMIFS(Hulptabel!$AC$3:$AC$152,Hulptabel!$D$3:$D$152,$A10,Hulptabel!$I$3:$I$152,K$3)</f>
        <v>0</v>
      </c>
      <c r="L10" s="286">
        <f>SUMIFS(Hulptabel!$AC$3:$AC$152,Hulptabel!$D$3:$D$152,$A10,Hulptabel!$I$3:$I$152,L$3)</f>
        <v>0</v>
      </c>
      <c r="M10" s="286">
        <f>SUMIFS(Hulptabel!$AC$3:$AC$152,Hulptabel!$D$3:$D$152,$A10,Hulptabel!$I$3:$I$152,M$3)</f>
        <v>0</v>
      </c>
      <c r="N10" s="286">
        <f>SUMIFS(Hulptabel!$AC$3:$AC$152,Hulptabel!$D$3:$D$152,$A10,Hulptabel!$I$3:$I$152,N$3)</f>
        <v>0</v>
      </c>
      <c r="O10" s="286">
        <f>SUMIFS(Hulptabel!$AC$3:$AC$152,Hulptabel!$D$3:$D$152,$A10,Hulptabel!$I$3:$I$152,O$3)</f>
        <v>0</v>
      </c>
      <c r="P10" s="286">
        <f>SUMIFS(Hulptabel!$AC$3:$AC$152,Hulptabel!$D$3:$D$152,$A10,Hulptabel!$I$3:$I$152,P$3)</f>
        <v>0</v>
      </c>
      <c r="Q10" s="286">
        <f>SUMIFS(Hulptabel!$AC$3:$AC$152,Hulptabel!$D$3:$D$152,$A10,Hulptabel!$I$3:$I$152,Q$3)</f>
        <v>0</v>
      </c>
      <c r="R10" s="286">
        <f>SUMIFS(Hulptabel!$AC$3:$AC$152,Hulptabel!$D$3:$D$152,$A10,Hulptabel!$I$3:$I$152,R$3)</f>
        <v>0</v>
      </c>
      <c r="S10" s="286">
        <f>SUMIFS(Hulptabel!$AC$3:$AC$152,Hulptabel!$D$3:$D$152,$A10,Hulptabel!$I$3:$I$152,S$3)</f>
        <v>0</v>
      </c>
      <c r="T10" s="286">
        <f>SUMIFS(Hulptabel!$AC$3:$AC$152,Hulptabel!$D$3:$D$152,$A10,Hulptabel!$I$3:$I$152,T$3)</f>
        <v>0</v>
      </c>
      <c r="U10" s="286">
        <f>SUMIFS(Hulptabel!$AC$3:$AC$152,Hulptabel!$D$3:$D$152,$A10,Hulptabel!$I$3:$I$152,U$3)</f>
        <v>0</v>
      </c>
      <c r="V10" s="286">
        <f>SUMIFS(Hulptabel!$AC$3:$AC$152,Hulptabel!$D$3:$D$152,$A10,Hulptabel!$I$3:$I$152,V$3)</f>
        <v>0</v>
      </c>
      <c r="W10" s="286">
        <f>SUMIFS(Hulptabel!$AC$3:$AC$152,Hulptabel!$D$3:$D$152,$A10,Hulptabel!$I$3:$I$152,W$3)</f>
        <v>0</v>
      </c>
      <c r="X10" s="286">
        <f>SUMIFS(Hulptabel!$AC$3:$AC$152,Hulptabel!$D$3:$D$152,$A10,Hulptabel!$I$3:$I$152,X$3)</f>
        <v>0</v>
      </c>
      <c r="Y10" s="286">
        <f>SUMIFS(Hulptabel!$AC$3:$AC$152,Hulptabel!$D$3:$D$152,$A10,Hulptabel!$I$3:$I$152,Y$3)</f>
        <v>0</v>
      </c>
      <c r="Z10" s="286">
        <f>SUMIFS(Hulptabel!$AC$3:$AC$152,Hulptabel!$D$3:$D$152,$A10,Hulptabel!$I$3:$I$152,Z$3)</f>
        <v>0</v>
      </c>
      <c r="AA10" s="286">
        <f>SUMIFS(Hulptabel!$AC$3:$AC$152,Hulptabel!$D$3:$D$152,$A10,Hulptabel!$I$3:$I$152,AA$3)</f>
        <v>0</v>
      </c>
      <c r="AB10" s="286">
        <f>SUMIFS(Hulptabel!$AC$3:$AC$152,Hulptabel!$D$3:$D$152,$A10,Hulptabel!$I$3:$I$152,AB$3)</f>
        <v>0</v>
      </c>
      <c r="AC10" s="286">
        <f>SUMIFS(Hulptabel!$AC$3:$AC$152,Hulptabel!$D$3:$D$152,$A10,Hulptabel!$I$3:$I$152,AC$3)</f>
        <v>0</v>
      </c>
      <c r="AD10" s="286">
        <f>SUMIFS(Hulptabel!$AC$3:$AC$152,Hulptabel!$D$3:$D$152,$A10,Hulptabel!$I$3:$I$152,AD$3)</f>
        <v>0</v>
      </c>
      <c r="AE10" s="286">
        <f>SUMIFS(Hulptabel!$AC$3:$AC$152,Hulptabel!$D$3:$D$152,$A10,Hulptabel!$I$3:$I$152,AE$3)</f>
        <v>0</v>
      </c>
      <c r="AF10" s="286">
        <f>SUMIFS(Hulptabel!$AC$3:$AC$152,Hulptabel!$D$3:$D$152,$A10,Hulptabel!$I$3:$I$152,AF$3)</f>
        <v>0</v>
      </c>
      <c r="AG10" s="286">
        <f>SUMIFS(Hulptabel!$AC$3:$AC$152,Hulptabel!$D$3:$D$152,$A10,Hulptabel!$I$3:$I$152,AG$3)</f>
        <v>0</v>
      </c>
      <c r="AH10" s="286">
        <f>SUMIFS(Hulptabel!$AC$3:$AC$152,Hulptabel!$D$3:$D$152,$A10,Hulptabel!$I$3:$I$152,AH$3)</f>
        <v>0</v>
      </c>
      <c r="AI10" s="286">
        <f>SUMIFS(Hulptabel!$AC$3:$AC$152,Hulptabel!$D$3:$D$152,$A10,Hulptabel!$I$3:$I$152,AI$3)</f>
        <v>0</v>
      </c>
      <c r="AJ10" s="286">
        <f>SUMIFS(Hulptabel!$AC$3:$AC$152,Hulptabel!$D$3:$D$152,$A10,Hulptabel!$I$3:$I$152,AJ$3)</f>
        <v>0</v>
      </c>
      <c r="AK10" s="286">
        <f>SUMIFS(Hulptabel!$AC$3:$AC$152,Hulptabel!$D$3:$D$152,$A10,Hulptabel!$I$3:$I$152,AK$3)</f>
        <v>0</v>
      </c>
      <c r="AL10" s="286">
        <f>SUMIFS(Hulptabel!$AC$3:$AC$152,Hulptabel!$D$3:$D$152,$A10,Hulptabel!$I$3:$I$152,AL$3)</f>
        <v>0</v>
      </c>
      <c r="AM10" s="286">
        <f>SUMIFS(Hulptabel!$AC$3:$AC$152,Hulptabel!$D$3:$D$152,$A10,Hulptabel!$I$3:$I$152,AM$3)</f>
        <v>0</v>
      </c>
      <c r="AN10" s="286">
        <f>SUMIFS(Hulptabel!$AC$3:$AC$152,Hulptabel!$D$3:$D$152,$A10,Hulptabel!$I$3:$I$152,AN$3)</f>
        <v>0</v>
      </c>
      <c r="AO10" s="286">
        <f>SUMIFS(Hulptabel!$AC$3:$AC$152,Hulptabel!$D$3:$D$152,$A10,Hulptabel!$I$3:$I$152,AO$3)</f>
        <v>0</v>
      </c>
      <c r="AP10" s="286">
        <f>SUMIFS(Hulptabel!$AC$3:$AC$152,Hulptabel!$D$3:$D$152,$A10,Hulptabel!$I$3:$I$152,AP$3)</f>
        <v>0</v>
      </c>
      <c r="AQ10" s="287">
        <f>SUMIFS(Hulptabel!$AC$3:$AC$152,Hulptabel!$D$3:$D$152,$A10,Hulptabel!$I$3:$I$152,AQ$3)</f>
        <v>0</v>
      </c>
    </row>
    <row r="11" spans="1:44" x14ac:dyDescent="0.25">
      <c r="A11" s="285" t="s">
        <v>207</v>
      </c>
      <c r="B11" s="281">
        <f>SUMIFS(Hulptabel!$AC$3:$AC$152,Hulptabel!$D$3:$D$152,A11)</f>
        <v>39520</v>
      </c>
      <c r="C11" s="281">
        <f t="shared" si="3"/>
        <v>0</v>
      </c>
      <c r="D11" s="286">
        <f>SUMIFS(Hulptabel!$AC$3:$AC$152,Hulptabel!$D$3:$D$152,$A11,Hulptabel!$I$3:$I$152,D$3)+SUMIFS(Hulptabel!$AC$3:$AC$152,Hulptabel!$D$3:$D$152,$A11,Hulptabel!$E$3:$E$152,2012)</f>
        <v>0</v>
      </c>
      <c r="E11" s="286">
        <f>SUMIFS(Hulptabel!$AC$3:$AC$152,Hulptabel!$D$3:$D$152,$A11,Hulptabel!$I$3:$I$152,E$3)</f>
        <v>0</v>
      </c>
      <c r="F11" s="286">
        <f>SUMIFS(Hulptabel!$AC$3:$AC$152,Hulptabel!$D$3:$D$152,$A11,Hulptabel!$I$3:$I$152,F$3)</f>
        <v>0</v>
      </c>
      <c r="G11" s="286">
        <f>SUMIFS(Hulptabel!$AC$3:$AC$152,Hulptabel!$D$3:$D$152,$A11,Hulptabel!$I$3:$I$152,G$3)</f>
        <v>0</v>
      </c>
      <c r="H11" s="286">
        <f>SUMIFS(Hulptabel!$AC$3:$AC$152,Hulptabel!$D$3:$D$152,$A11,Hulptabel!$I$3:$I$152,H$3)</f>
        <v>0</v>
      </c>
      <c r="I11" s="286">
        <f>SUMIFS(Hulptabel!$AC$3:$AC$152,Hulptabel!$D$3:$D$152,$A11,Hulptabel!$I$3:$I$152,I$3)</f>
        <v>0</v>
      </c>
      <c r="J11" s="286">
        <f>SUMIFS(Hulptabel!$AC$3:$AC$152,Hulptabel!$D$3:$D$152,$A11,Hulptabel!$I$3:$I$152,J$3)</f>
        <v>0</v>
      </c>
      <c r="K11" s="286">
        <f>SUMIFS(Hulptabel!$AC$3:$AC$152,Hulptabel!$D$3:$D$152,$A11,Hulptabel!$I$3:$I$152,K$3)</f>
        <v>0</v>
      </c>
      <c r="L11" s="286">
        <f>SUMIFS(Hulptabel!$AC$3:$AC$152,Hulptabel!$D$3:$D$152,$A11,Hulptabel!$I$3:$I$152,L$3)</f>
        <v>0</v>
      </c>
      <c r="M11" s="286">
        <f>SUMIFS(Hulptabel!$AC$3:$AC$152,Hulptabel!$D$3:$D$152,$A11,Hulptabel!$I$3:$I$152,M$3)</f>
        <v>0</v>
      </c>
      <c r="N11" s="286">
        <f>SUMIFS(Hulptabel!$AC$3:$AC$152,Hulptabel!$D$3:$D$152,$A11,Hulptabel!$I$3:$I$152,N$3)</f>
        <v>0</v>
      </c>
      <c r="O11" s="286">
        <f>SUMIFS(Hulptabel!$AC$3:$AC$152,Hulptabel!$D$3:$D$152,$A11,Hulptabel!$I$3:$I$152,O$3)</f>
        <v>0</v>
      </c>
      <c r="P11" s="286">
        <f>SUMIFS(Hulptabel!$AC$3:$AC$152,Hulptabel!$D$3:$D$152,$A11,Hulptabel!$I$3:$I$152,P$3)</f>
        <v>0</v>
      </c>
      <c r="Q11" s="286">
        <f>SUMIFS(Hulptabel!$AC$3:$AC$152,Hulptabel!$D$3:$D$152,$A11,Hulptabel!$I$3:$I$152,Q$3)</f>
        <v>0</v>
      </c>
      <c r="R11" s="286">
        <f>SUMIFS(Hulptabel!$AC$3:$AC$152,Hulptabel!$D$3:$D$152,$A11,Hulptabel!$I$3:$I$152,R$3)</f>
        <v>19760</v>
      </c>
      <c r="S11" s="286">
        <f>SUMIFS(Hulptabel!$AC$3:$AC$152,Hulptabel!$D$3:$D$152,$A11,Hulptabel!$I$3:$I$152,S$3)</f>
        <v>0</v>
      </c>
      <c r="T11" s="286">
        <f>SUMIFS(Hulptabel!$AC$3:$AC$152,Hulptabel!$D$3:$D$152,$A11,Hulptabel!$I$3:$I$152,T$3)</f>
        <v>0</v>
      </c>
      <c r="U11" s="286">
        <f>SUMIFS(Hulptabel!$AC$3:$AC$152,Hulptabel!$D$3:$D$152,$A11,Hulptabel!$I$3:$I$152,U$3)</f>
        <v>0</v>
      </c>
      <c r="V11" s="286">
        <f>SUMIFS(Hulptabel!$AC$3:$AC$152,Hulptabel!$D$3:$D$152,$A11,Hulptabel!$I$3:$I$152,V$3)</f>
        <v>0</v>
      </c>
      <c r="W11" s="286">
        <f>SUMIFS(Hulptabel!$AC$3:$AC$152,Hulptabel!$D$3:$D$152,$A11,Hulptabel!$I$3:$I$152,W$3)</f>
        <v>0</v>
      </c>
      <c r="X11" s="286">
        <f>SUMIFS(Hulptabel!$AC$3:$AC$152,Hulptabel!$D$3:$D$152,$A11,Hulptabel!$I$3:$I$152,X$3)</f>
        <v>0</v>
      </c>
      <c r="Y11" s="286">
        <f>SUMIFS(Hulptabel!$AC$3:$AC$152,Hulptabel!$D$3:$D$152,$A11,Hulptabel!$I$3:$I$152,Y$3)</f>
        <v>0</v>
      </c>
      <c r="Z11" s="286">
        <f>SUMIFS(Hulptabel!$AC$3:$AC$152,Hulptabel!$D$3:$D$152,$A11,Hulptabel!$I$3:$I$152,Z$3)</f>
        <v>0</v>
      </c>
      <c r="AA11" s="286">
        <f>SUMIFS(Hulptabel!$AC$3:$AC$152,Hulptabel!$D$3:$D$152,$A11,Hulptabel!$I$3:$I$152,AA$3)</f>
        <v>0</v>
      </c>
      <c r="AB11" s="286">
        <f>SUMIFS(Hulptabel!$AC$3:$AC$152,Hulptabel!$D$3:$D$152,$A11,Hulptabel!$I$3:$I$152,AB$3)</f>
        <v>0</v>
      </c>
      <c r="AC11" s="286">
        <f>SUMIFS(Hulptabel!$AC$3:$AC$152,Hulptabel!$D$3:$D$152,$A11,Hulptabel!$I$3:$I$152,AC$3)</f>
        <v>0</v>
      </c>
      <c r="AD11" s="286">
        <f>SUMIFS(Hulptabel!$AC$3:$AC$152,Hulptabel!$D$3:$D$152,$A11,Hulptabel!$I$3:$I$152,AD$3)</f>
        <v>0</v>
      </c>
      <c r="AE11" s="286">
        <f>SUMIFS(Hulptabel!$AC$3:$AC$152,Hulptabel!$D$3:$D$152,$A11,Hulptabel!$I$3:$I$152,AE$3)</f>
        <v>0</v>
      </c>
      <c r="AF11" s="286">
        <f>SUMIFS(Hulptabel!$AC$3:$AC$152,Hulptabel!$D$3:$D$152,$A11,Hulptabel!$I$3:$I$152,AF$3)</f>
        <v>19760</v>
      </c>
      <c r="AG11" s="286">
        <f>SUMIFS(Hulptabel!$AC$3:$AC$152,Hulptabel!$D$3:$D$152,$A11,Hulptabel!$I$3:$I$152,AG$3)</f>
        <v>0</v>
      </c>
      <c r="AH11" s="286">
        <f>SUMIFS(Hulptabel!$AC$3:$AC$152,Hulptabel!$D$3:$D$152,$A11,Hulptabel!$I$3:$I$152,AH$3)</f>
        <v>0</v>
      </c>
      <c r="AI11" s="286">
        <f>SUMIFS(Hulptabel!$AC$3:$AC$152,Hulptabel!$D$3:$D$152,$A11,Hulptabel!$I$3:$I$152,AI$3)</f>
        <v>0</v>
      </c>
      <c r="AJ11" s="286">
        <f>SUMIFS(Hulptabel!$AC$3:$AC$152,Hulptabel!$D$3:$D$152,$A11,Hulptabel!$I$3:$I$152,AJ$3)</f>
        <v>0</v>
      </c>
      <c r="AK11" s="286">
        <f>SUMIFS(Hulptabel!$AC$3:$AC$152,Hulptabel!$D$3:$D$152,$A11,Hulptabel!$I$3:$I$152,AK$3)</f>
        <v>0</v>
      </c>
      <c r="AL11" s="286">
        <f>SUMIFS(Hulptabel!$AC$3:$AC$152,Hulptabel!$D$3:$D$152,$A11,Hulptabel!$I$3:$I$152,AL$3)</f>
        <v>0</v>
      </c>
      <c r="AM11" s="286">
        <f>SUMIFS(Hulptabel!$AC$3:$AC$152,Hulptabel!$D$3:$D$152,$A11,Hulptabel!$I$3:$I$152,AM$3)</f>
        <v>0</v>
      </c>
      <c r="AN11" s="286">
        <f>SUMIFS(Hulptabel!$AC$3:$AC$152,Hulptabel!$D$3:$D$152,$A11,Hulptabel!$I$3:$I$152,AN$3)</f>
        <v>0</v>
      </c>
      <c r="AO11" s="286">
        <f>SUMIFS(Hulptabel!$AC$3:$AC$152,Hulptabel!$D$3:$D$152,$A11,Hulptabel!$I$3:$I$152,AO$3)</f>
        <v>0</v>
      </c>
      <c r="AP11" s="286">
        <f>SUMIFS(Hulptabel!$AC$3:$AC$152,Hulptabel!$D$3:$D$152,$A11,Hulptabel!$I$3:$I$152,AP$3)</f>
        <v>0</v>
      </c>
      <c r="AQ11" s="287">
        <f>SUMIFS(Hulptabel!$AC$3:$AC$152,Hulptabel!$D$3:$D$152,$A11,Hulptabel!$I$3:$I$152,AQ$3)</f>
        <v>0</v>
      </c>
    </row>
    <row r="12" spans="1:44" x14ac:dyDescent="0.25">
      <c r="A12" s="285" t="s">
        <v>271</v>
      </c>
      <c r="B12" s="281">
        <f>SUMIFS(Hulptabel!$AC$3:$AC$152,Hulptabel!$D$3:$D$152,A12)</f>
        <v>68440</v>
      </c>
      <c r="C12" s="281">
        <f t="shared" si="3"/>
        <v>0</v>
      </c>
      <c r="D12" s="286">
        <f>SUMIFS(Hulptabel!$AC$3:$AC$152,Hulptabel!$D$3:$D$152,$A12,Hulptabel!$I$3:$I$152,D$3)+SUMIFS(Hulptabel!$AC$3:$AC$152,Hulptabel!$D$3:$D$152,$A12,Hulptabel!$E$3:$E$152,2012)</f>
        <v>0</v>
      </c>
      <c r="E12" s="286">
        <f>SUMIFS(Hulptabel!$AC$3:$AC$152,Hulptabel!$D$3:$D$152,$A12,Hulptabel!$I$3:$I$152,E$3)</f>
        <v>0</v>
      </c>
      <c r="F12" s="286">
        <f>SUMIFS(Hulptabel!$AC$3:$AC$152,Hulptabel!$D$3:$D$152,$A12,Hulptabel!$I$3:$I$152,F$3)</f>
        <v>0</v>
      </c>
      <c r="G12" s="286">
        <f>SUMIFS(Hulptabel!$AC$3:$AC$152,Hulptabel!$D$3:$D$152,$A12,Hulptabel!$I$3:$I$152,G$3)</f>
        <v>0</v>
      </c>
      <c r="H12" s="286">
        <f>SUMIFS(Hulptabel!$AC$3:$AC$152,Hulptabel!$D$3:$D$152,$A12,Hulptabel!$I$3:$I$152,H$3)</f>
        <v>0</v>
      </c>
      <c r="I12" s="286">
        <f>SUMIFS(Hulptabel!$AC$3:$AC$152,Hulptabel!$D$3:$D$152,$A12,Hulptabel!$I$3:$I$152,I$3)</f>
        <v>0</v>
      </c>
      <c r="J12" s="286">
        <f>SUMIFS(Hulptabel!$AC$3:$AC$152,Hulptabel!$D$3:$D$152,$A12,Hulptabel!$I$3:$I$152,J$3)</f>
        <v>0</v>
      </c>
      <c r="K12" s="286">
        <f>SUMIFS(Hulptabel!$AC$3:$AC$152,Hulptabel!$D$3:$D$152,$A12,Hulptabel!$I$3:$I$152,K$3)</f>
        <v>0</v>
      </c>
      <c r="L12" s="286">
        <f>SUMIFS(Hulptabel!$AC$3:$AC$152,Hulptabel!$D$3:$D$152,$A12,Hulptabel!$I$3:$I$152,L$3)</f>
        <v>0</v>
      </c>
      <c r="M12" s="286">
        <f>SUMIFS(Hulptabel!$AC$3:$AC$152,Hulptabel!$D$3:$D$152,$A12,Hulptabel!$I$3:$I$152,M$3)</f>
        <v>0</v>
      </c>
      <c r="N12" s="286">
        <f>SUMIFS(Hulptabel!$AC$3:$AC$152,Hulptabel!$D$3:$D$152,$A12,Hulptabel!$I$3:$I$152,N$3)</f>
        <v>0</v>
      </c>
      <c r="O12" s="286">
        <f>SUMIFS(Hulptabel!$AC$3:$AC$152,Hulptabel!$D$3:$D$152,$A12,Hulptabel!$I$3:$I$152,O$3)</f>
        <v>0</v>
      </c>
      <c r="P12" s="286">
        <f>SUMIFS(Hulptabel!$AC$3:$AC$152,Hulptabel!$D$3:$D$152,$A12,Hulptabel!$I$3:$I$152,P$3)</f>
        <v>0</v>
      </c>
      <c r="Q12" s="286">
        <f>SUMIFS(Hulptabel!$AC$3:$AC$152,Hulptabel!$D$3:$D$152,$A12,Hulptabel!$I$3:$I$152,Q$3)</f>
        <v>0</v>
      </c>
      <c r="R12" s="286">
        <f>SUMIFS(Hulptabel!$AC$3:$AC$152,Hulptabel!$D$3:$D$152,$A12,Hulptabel!$I$3:$I$152,R$3)</f>
        <v>0</v>
      </c>
      <c r="S12" s="286">
        <f>SUMIFS(Hulptabel!$AC$3:$AC$152,Hulptabel!$D$3:$D$152,$A12,Hulptabel!$I$3:$I$152,S$3)</f>
        <v>0</v>
      </c>
      <c r="T12" s="286">
        <f>SUMIFS(Hulptabel!$AC$3:$AC$152,Hulptabel!$D$3:$D$152,$A12,Hulptabel!$I$3:$I$152,T$3)</f>
        <v>34220</v>
      </c>
      <c r="U12" s="286">
        <f>SUMIFS(Hulptabel!$AC$3:$AC$152,Hulptabel!$D$3:$D$152,$A12,Hulptabel!$I$3:$I$152,U$3)</f>
        <v>0</v>
      </c>
      <c r="V12" s="286">
        <f>SUMIFS(Hulptabel!$AC$3:$AC$152,Hulptabel!$D$3:$D$152,$A12,Hulptabel!$I$3:$I$152,V$3)</f>
        <v>0</v>
      </c>
      <c r="W12" s="286">
        <f>SUMIFS(Hulptabel!$AC$3:$AC$152,Hulptabel!$D$3:$D$152,$A12,Hulptabel!$I$3:$I$152,W$3)</f>
        <v>0</v>
      </c>
      <c r="X12" s="286">
        <f>SUMIFS(Hulptabel!$AC$3:$AC$152,Hulptabel!$D$3:$D$152,$A12,Hulptabel!$I$3:$I$152,X$3)</f>
        <v>0</v>
      </c>
      <c r="Y12" s="286">
        <f>SUMIFS(Hulptabel!$AC$3:$AC$152,Hulptabel!$D$3:$D$152,$A12,Hulptabel!$I$3:$I$152,Y$3)</f>
        <v>0</v>
      </c>
      <c r="Z12" s="286">
        <f>SUMIFS(Hulptabel!$AC$3:$AC$152,Hulptabel!$D$3:$D$152,$A12,Hulptabel!$I$3:$I$152,Z$3)</f>
        <v>0</v>
      </c>
      <c r="AA12" s="286">
        <f>SUMIFS(Hulptabel!$AC$3:$AC$152,Hulptabel!$D$3:$D$152,$A12,Hulptabel!$I$3:$I$152,AA$3)</f>
        <v>0</v>
      </c>
      <c r="AB12" s="286">
        <f>SUMIFS(Hulptabel!$AC$3:$AC$152,Hulptabel!$D$3:$D$152,$A12,Hulptabel!$I$3:$I$152,AB$3)</f>
        <v>0</v>
      </c>
      <c r="AC12" s="286">
        <f>SUMIFS(Hulptabel!$AC$3:$AC$152,Hulptabel!$D$3:$D$152,$A12,Hulptabel!$I$3:$I$152,AC$3)</f>
        <v>0</v>
      </c>
      <c r="AD12" s="286">
        <f>SUMIFS(Hulptabel!$AC$3:$AC$152,Hulptabel!$D$3:$D$152,$A12,Hulptabel!$I$3:$I$152,AD$3)</f>
        <v>0</v>
      </c>
      <c r="AE12" s="286">
        <f>SUMIFS(Hulptabel!$AC$3:$AC$152,Hulptabel!$D$3:$D$152,$A12,Hulptabel!$I$3:$I$152,AE$3)</f>
        <v>0</v>
      </c>
      <c r="AF12" s="286">
        <f>SUMIFS(Hulptabel!$AC$3:$AC$152,Hulptabel!$D$3:$D$152,$A12,Hulptabel!$I$3:$I$152,AF$3)</f>
        <v>0</v>
      </c>
      <c r="AG12" s="286">
        <f>SUMIFS(Hulptabel!$AC$3:$AC$152,Hulptabel!$D$3:$D$152,$A12,Hulptabel!$I$3:$I$152,AG$3)</f>
        <v>0</v>
      </c>
      <c r="AH12" s="286">
        <f>SUMIFS(Hulptabel!$AC$3:$AC$152,Hulptabel!$D$3:$D$152,$A12,Hulptabel!$I$3:$I$152,AH$3)</f>
        <v>34220</v>
      </c>
      <c r="AI12" s="286">
        <f>SUMIFS(Hulptabel!$AC$3:$AC$152,Hulptabel!$D$3:$D$152,$A12,Hulptabel!$I$3:$I$152,AI$3)</f>
        <v>0</v>
      </c>
      <c r="AJ12" s="286">
        <f>SUMIFS(Hulptabel!$AC$3:$AC$152,Hulptabel!$D$3:$D$152,$A12,Hulptabel!$I$3:$I$152,AJ$3)</f>
        <v>0</v>
      </c>
      <c r="AK12" s="286">
        <f>SUMIFS(Hulptabel!$AC$3:$AC$152,Hulptabel!$D$3:$D$152,$A12,Hulptabel!$I$3:$I$152,AK$3)</f>
        <v>0</v>
      </c>
      <c r="AL12" s="286">
        <f>SUMIFS(Hulptabel!$AC$3:$AC$152,Hulptabel!$D$3:$D$152,$A12,Hulptabel!$I$3:$I$152,AL$3)</f>
        <v>0</v>
      </c>
      <c r="AM12" s="286">
        <f>SUMIFS(Hulptabel!$AC$3:$AC$152,Hulptabel!$D$3:$D$152,$A12,Hulptabel!$I$3:$I$152,AM$3)</f>
        <v>0</v>
      </c>
      <c r="AN12" s="286">
        <f>SUMIFS(Hulptabel!$AC$3:$AC$152,Hulptabel!$D$3:$D$152,$A12,Hulptabel!$I$3:$I$152,AN$3)</f>
        <v>0</v>
      </c>
      <c r="AO12" s="286">
        <f>SUMIFS(Hulptabel!$AC$3:$AC$152,Hulptabel!$D$3:$D$152,$A12,Hulptabel!$I$3:$I$152,AO$3)</f>
        <v>0</v>
      </c>
      <c r="AP12" s="286">
        <f>SUMIFS(Hulptabel!$AC$3:$AC$152,Hulptabel!$D$3:$D$152,$A12,Hulptabel!$I$3:$I$152,AP$3)</f>
        <v>0</v>
      </c>
      <c r="AQ12" s="287">
        <f>SUMIFS(Hulptabel!$AC$3:$AC$152,Hulptabel!$D$3:$D$152,$A12,Hulptabel!$I$3:$I$152,AQ$3)</f>
        <v>0</v>
      </c>
    </row>
    <row r="13" spans="1:44" x14ac:dyDescent="0.25">
      <c r="A13" s="285" t="s">
        <v>300</v>
      </c>
      <c r="B13" s="281">
        <f>SUMIFS(Hulptabel!$AC$3:$AC$152,Hulptabel!$D$3:$D$152,A13)</f>
        <v>28425</v>
      </c>
      <c r="C13" s="281">
        <f t="shared" si="3"/>
        <v>0</v>
      </c>
      <c r="D13" s="286">
        <f>SUMIFS(Hulptabel!$AC$3:$AC$152,Hulptabel!$D$3:$D$152,$A13,Hulptabel!$I$3:$I$152,D$3)+SUMIFS(Hulptabel!$AC$3:$AC$152,Hulptabel!$D$3:$D$152,$A13,Hulptabel!$E$3:$E$152,2012)</f>
        <v>0</v>
      </c>
      <c r="E13" s="286">
        <f>SUMIFS(Hulptabel!$AC$3:$AC$152,Hulptabel!$D$3:$D$152,$A13,Hulptabel!$I$3:$I$152,E$3)</f>
        <v>0</v>
      </c>
      <c r="F13" s="286">
        <f>SUMIFS(Hulptabel!$AC$3:$AC$152,Hulptabel!$D$3:$D$152,$A13,Hulptabel!$I$3:$I$152,F$3)</f>
        <v>0</v>
      </c>
      <c r="G13" s="286">
        <f>SUMIFS(Hulptabel!$AC$3:$AC$152,Hulptabel!$D$3:$D$152,$A13,Hulptabel!$I$3:$I$152,G$3)</f>
        <v>0</v>
      </c>
      <c r="H13" s="286">
        <f>SUMIFS(Hulptabel!$AC$3:$AC$152,Hulptabel!$D$3:$D$152,$A13,Hulptabel!$I$3:$I$152,H$3)</f>
        <v>0</v>
      </c>
      <c r="I13" s="286">
        <f>SUMIFS(Hulptabel!$AC$3:$AC$152,Hulptabel!$D$3:$D$152,$A13,Hulptabel!$I$3:$I$152,I$3)</f>
        <v>0</v>
      </c>
      <c r="J13" s="286">
        <f>SUMIFS(Hulptabel!$AC$3:$AC$152,Hulptabel!$D$3:$D$152,$A13,Hulptabel!$I$3:$I$152,J$3)</f>
        <v>0</v>
      </c>
      <c r="K13" s="286">
        <f>SUMIFS(Hulptabel!$AC$3:$AC$152,Hulptabel!$D$3:$D$152,$A13,Hulptabel!$I$3:$I$152,K$3)</f>
        <v>0</v>
      </c>
      <c r="L13" s="286">
        <f>SUMIFS(Hulptabel!$AC$3:$AC$152,Hulptabel!$D$3:$D$152,$A13,Hulptabel!$I$3:$I$152,L$3)</f>
        <v>0</v>
      </c>
      <c r="M13" s="286">
        <f>SUMIFS(Hulptabel!$AC$3:$AC$152,Hulptabel!$D$3:$D$152,$A13,Hulptabel!$I$3:$I$152,M$3)</f>
        <v>0</v>
      </c>
      <c r="N13" s="286">
        <f>SUMIFS(Hulptabel!$AC$3:$AC$152,Hulptabel!$D$3:$D$152,$A13,Hulptabel!$I$3:$I$152,N$3)</f>
        <v>0</v>
      </c>
      <c r="O13" s="286">
        <f>SUMIFS(Hulptabel!$AC$3:$AC$152,Hulptabel!$D$3:$D$152,$A13,Hulptabel!$I$3:$I$152,O$3)</f>
        <v>5685</v>
      </c>
      <c r="P13" s="286">
        <f>SUMIFS(Hulptabel!$AC$3:$AC$152,Hulptabel!$D$3:$D$152,$A13,Hulptabel!$I$3:$I$152,P$3)</f>
        <v>0</v>
      </c>
      <c r="Q13" s="286">
        <f>SUMIFS(Hulptabel!$AC$3:$AC$152,Hulptabel!$D$3:$D$152,$A13,Hulptabel!$I$3:$I$152,Q$3)</f>
        <v>0</v>
      </c>
      <c r="R13" s="286">
        <f>SUMIFS(Hulptabel!$AC$3:$AC$152,Hulptabel!$D$3:$D$152,$A13,Hulptabel!$I$3:$I$152,R$3)</f>
        <v>0</v>
      </c>
      <c r="S13" s="286">
        <f>SUMIFS(Hulptabel!$AC$3:$AC$152,Hulptabel!$D$3:$D$152,$A13,Hulptabel!$I$3:$I$152,S$3)</f>
        <v>5685</v>
      </c>
      <c r="T13" s="286">
        <f>SUMIFS(Hulptabel!$AC$3:$AC$152,Hulptabel!$D$3:$D$152,$A13,Hulptabel!$I$3:$I$152,T$3)</f>
        <v>0</v>
      </c>
      <c r="U13" s="286">
        <f>SUMIFS(Hulptabel!$AC$3:$AC$152,Hulptabel!$D$3:$D$152,$A13,Hulptabel!$I$3:$I$152,U$3)</f>
        <v>0</v>
      </c>
      <c r="V13" s="286">
        <f>SUMIFS(Hulptabel!$AC$3:$AC$152,Hulptabel!$D$3:$D$152,$A13,Hulptabel!$I$3:$I$152,V$3)</f>
        <v>0</v>
      </c>
      <c r="W13" s="286">
        <f>SUMIFS(Hulptabel!$AC$3:$AC$152,Hulptabel!$D$3:$D$152,$A13,Hulptabel!$I$3:$I$152,W$3)</f>
        <v>0</v>
      </c>
      <c r="X13" s="286">
        <f>SUMIFS(Hulptabel!$AC$3:$AC$152,Hulptabel!$D$3:$D$152,$A13,Hulptabel!$I$3:$I$152,X$3)</f>
        <v>0</v>
      </c>
      <c r="Y13" s="286">
        <f>SUMIFS(Hulptabel!$AC$3:$AC$152,Hulptabel!$D$3:$D$152,$A13,Hulptabel!$I$3:$I$152,Y$3)</f>
        <v>0</v>
      </c>
      <c r="Z13" s="286">
        <f>SUMIFS(Hulptabel!$AC$3:$AC$152,Hulptabel!$D$3:$D$152,$A13,Hulptabel!$I$3:$I$152,Z$3)</f>
        <v>5685</v>
      </c>
      <c r="AA13" s="286">
        <f>SUMIFS(Hulptabel!$AC$3:$AC$152,Hulptabel!$D$3:$D$152,$A13,Hulptabel!$I$3:$I$152,AA$3)</f>
        <v>0</v>
      </c>
      <c r="AB13" s="286">
        <f>SUMIFS(Hulptabel!$AC$3:$AC$152,Hulptabel!$D$3:$D$152,$A13,Hulptabel!$I$3:$I$152,AB$3)</f>
        <v>0</v>
      </c>
      <c r="AC13" s="286">
        <f>SUMIFS(Hulptabel!$AC$3:$AC$152,Hulptabel!$D$3:$D$152,$A13,Hulptabel!$I$3:$I$152,AC$3)</f>
        <v>0</v>
      </c>
      <c r="AD13" s="286">
        <f>SUMIFS(Hulptabel!$AC$3:$AC$152,Hulptabel!$D$3:$D$152,$A13,Hulptabel!$I$3:$I$152,AD$3)</f>
        <v>0</v>
      </c>
      <c r="AE13" s="286">
        <f>SUMIFS(Hulptabel!$AC$3:$AC$152,Hulptabel!$D$3:$D$152,$A13,Hulptabel!$I$3:$I$152,AE$3)</f>
        <v>5685</v>
      </c>
      <c r="AF13" s="286">
        <f>SUMIFS(Hulptabel!$AC$3:$AC$152,Hulptabel!$D$3:$D$152,$A13,Hulptabel!$I$3:$I$152,AF$3)</f>
        <v>0</v>
      </c>
      <c r="AG13" s="286">
        <f>SUMIFS(Hulptabel!$AC$3:$AC$152,Hulptabel!$D$3:$D$152,$A13,Hulptabel!$I$3:$I$152,AG$3)</f>
        <v>5685</v>
      </c>
      <c r="AH13" s="286">
        <f>SUMIFS(Hulptabel!$AC$3:$AC$152,Hulptabel!$D$3:$D$152,$A13,Hulptabel!$I$3:$I$152,AH$3)</f>
        <v>0</v>
      </c>
      <c r="AI13" s="286">
        <f>SUMIFS(Hulptabel!$AC$3:$AC$152,Hulptabel!$D$3:$D$152,$A13,Hulptabel!$I$3:$I$152,AI$3)</f>
        <v>0</v>
      </c>
      <c r="AJ13" s="286">
        <f>SUMIFS(Hulptabel!$AC$3:$AC$152,Hulptabel!$D$3:$D$152,$A13,Hulptabel!$I$3:$I$152,AJ$3)</f>
        <v>0</v>
      </c>
      <c r="AK13" s="286">
        <f>SUMIFS(Hulptabel!$AC$3:$AC$152,Hulptabel!$D$3:$D$152,$A13,Hulptabel!$I$3:$I$152,AK$3)</f>
        <v>0</v>
      </c>
      <c r="AL13" s="286">
        <f>SUMIFS(Hulptabel!$AC$3:$AC$152,Hulptabel!$D$3:$D$152,$A13,Hulptabel!$I$3:$I$152,AL$3)</f>
        <v>0</v>
      </c>
      <c r="AM13" s="286">
        <f>SUMIFS(Hulptabel!$AC$3:$AC$152,Hulptabel!$D$3:$D$152,$A13,Hulptabel!$I$3:$I$152,AM$3)</f>
        <v>0</v>
      </c>
      <c r="AN13" s="286">
        <f>SUMIFS(Hulptabel!$AC$3:$AC$152,Hulptabel!$D$3:$D$152,$A13,Hulptabel!$I$3:$I$152,AN$3)</f>
        <v>0</v>
      </c>
      <c r="AO13" s="286">
        <f>SUMIFS(Hulptabel!$AC$3:$AC$152,Hulptabel!$D$3:$D$152,$A13,Hulptabel!$I$3:$I$152,AO$3)</f>
        <v>0</v>
      </c>
      <c r="AP13" s="286">
        <f>SUMIFS(Hulptabel!$AC$3:$AC$152,Hulptabel!$D$3:$D$152,$A13,Hulptabel!$I$3:$I$152,AP$3)</f>
        <v>0</v>
      </c>
      <c r="AQ13" s="287">
        <f>SUMIFS(Hulptabel!$AC$3:$AC$152,Hulptabel!$D$3:$D$152,$A13,Hulptabel!$I$3:$I$152,AQ$3)</f>
        <v>0</v>
      </c>
    </row>
    <row r="14" spans="1:44" x14ac:dyDescent="0.25">
      <c r="A14" s="285" t="s">
        <v>310</v>
      </c>
      <c r="B14" s="281">
        <f>SUMIFS(Hulptabel!$AC$3:$AC$152,Hulptabel!$D$3:$D$152,A14)</f>
        <v>17880</v>
      </c>
      <c r="C14" s="281">
        <f t="shared" si="3"/>
        <v>0</v>
      </c>
      <c r="D14" s="286">
        <f>SUMIFS(Hulptabel!$AC$3:$AC$152,Hulptabel!$D$3:$D$152,$A14,Hulptabel!$I$3:$I$152,D$3)+SUMIFS(Hulptabel!$AC$3:$AC$152,Hulptabel!$D$3:$D$152,$A14,Hulptabel!$E$3:$E$152,2012)</f>
        <v>0</v>
      </c>
      <c r="E14" s="286">
        <f>SUMIFS(Hulptabel!$AC$3:$AC$152,Hulptabel!$D$3:$D$152,$A14,Hulptabel!$I$3:$I$152,E$3)</f>
        <v>0</v>
      </c>
      <c r="F14" s="286">
        <f>SUMIFS(Hulptabel!$AC$3:$AC$152,Hulptabel!$D$3:$D$152,$A14,Hulptabel!$I$3:$I$152,F$3)</f>
        <v>0</v>
      </c>
      <c r="G14" s="286">
        <f>SUMIFS(Hulptabel!$AC$3:$AC$152,Hulptabel!$D$3:$D$152,$A14,Hulptabel!$I$3:$I$152,G$3)</f>
        <v>0</v>
      </c>
      <c r="H14" s="286">
        <f>SUMIFS(Hulptabel!$AC$3:$AC$152,Hulptabel!$D$3:$D$152,$A14,Hulptabel!$I$3:$I$152,H$3)</f>
        <v>0</v>
      </c>
      <c r="I14" s="286">
        <f>SUMIFS(Hulptabel!$AC$3:$AC$152,Hulptabel!$D$3:$D$152,$A14,Hulptabel!$I$3:$I$152,I$3)</f>
        <v>0</v>
      </c>
      <c r="J14" s="286">
        <f>SUMIFS(Hulptabel!$AC$3:$AC$152,Hulptabel!$D$3:$D$152,$A14,Hulptabel!$I$3:$I$152,J$3)</f>
        <v>0</v>
      </c>
      <c r="K14" s="286">
        <f>SUMIFS(Hulptabel!$AC$3:$AC$152,Hulptabel!$D$3:$D$152,$A14,Hulptabel!$I$3:$I$152,K$3)</f>
        <v>0</v>
      </c>
      <c r="L14" s="286">
        <f>SUMIFS(Hulptabel!$AC$3:$AC$152,Hulptabel!$D$3:$D$152,$A14,Hulptabel!$I$3:$I$152,L$3)</f>
        <v>0</v>
      </c>
      <c r="M14" s="286">
        <f>SUMIFS(Hulptabel!$AC$3:$AC$152,Hulptabel!$D$3:$D$152,$A14,Hulptabel!$I$3:$I$152,M$3)</f>
        <v>0</v>
      </c>
      <c r="N14" s="286">
        <f>SUMIFS(Hulptabel!$AC$3:$AC$152,Hulptabel!$D$3:$D$152,$A14,Hulptabel!$I$3:$I$152,N$3)</f>
        <v>0</v>
      </c>
      <c r="O14" s="286">
        <f>SUMIFS(Hulptabel!$AC$3:$AC$152,Hulptabel!$D$3:$D$152,$A14,Hulptabel!$I$3:$I$152,O$3)</f>
        <v>0</v>
      </c>
      <c r="P14" s="286">
        <f>SUMIFS(Hulptabel!$AC$3:$AC$152,Hulptabel!$D$3:$D$152,$A14,Hulptabel!$I$3:$I$152,P$3)</f>
        <v>0</v>
      </c>
      <c r="Q14" s="286">
        <f>SUMIFS(Hulptabel!$AC$3:$AC$152,Hulptabel!$D$3:$D$152,$A14,Hulptabel!$I$3:$I$152,Q$3)</f>
        <v>8940</v>
      </c>
      <c r="R14" s="286">
        <f>SUMIFS(Hulptabel!$AC$3:$AC$152,Hulptabel!$D$3:$D$152,$A14,Hulptabel!$I$3:$I$152,R$3)</f>
        <v>0</v>
      </c>
      <c r="S14" s="286">
        <f>SUMIFS(Hulptabel!$AC$3:$AC$152,Hulptabel!$D$3:$D$152,$A14,Hulptabel!$I$3:$I$152,S$3)</f>
        <v>0</v>
      </c>
      <c r="T14" s="286">
        <f>SUMIFS(Hulptabel!$AC$3:$AC$152,Hulptabel!$D$3:$D$152,$A14,Hulptabel!$I$3:$I$152,T$3)</f>
        <v>0</v>
      </c>
      <c r="U14" s="286">
        <f>SUMIFS(Hulptabel!$AC$3:$AC$152,Hulptabel!$D$3:$D$152,$A14,Hulptabel!$I$3:$I$152,U$3)</f>
        <v>0</v>
      </c>
      <c r="V14" s="286">
        <f>SUMIFS(Hulptabel!$AC$3:$AC$152,Hulptabel!$D$3:$D$152,$A14,Hulptabel!$I$3:$I$152,V$3)</f>
        <v>0</v>
      </c>
      <c r="W14" s="286">
        <f>SUMIFS(Hulptabel!$AC$3:$AC$152,Hulptabel!$D$3:$D$152,$A14,Hulptabel!$I$3:$I$152,W$3)</f>
        <v>8940</v>
      </c>
      <c r="X14" s="286">
        <f>SUMIFS(Hulptabel!$AC$3:$AC$152,Hulptabel!$D$3:$D$152,$A14,Hulptabel!$I$3:$I$152,X$3)</f>
        <v>0</v>
      </c>
      <c r="Y14" s="286">
        <f>SUMIFS(Hulptabel!$AC$3:$AC$152,Hulptabel!$D$3:$D$152,$A14,Hulptabel!$I$3:$I$152,Y$3)</f>
        <v>0</v>
      </c>
      <c r="Z14" s="286">
        <f>SUMIFS(Hulptabel!$AC$3:$AC$152,Hulptabel!$D$3:$D$152,$A14,Hulptabel!$I$3:$I$152,Z$3)</f>
        <v>0</v>
      </c>
      <c r="AA14" s="286">
        <f>SUMIFS(Hulptabel!$AC$3:$AC$152,Hulptabel!$D$3:$D$152,$A14,Hulptabel!$I$3:$I$152,AA$3)</f>
        <v>0</v>
      </c>
      <c r="AB14" s="286">
        <f>SUMIFS(Hulptabel!$AC$3:$AC$152,Hulptabel!$D$3:$D$152,$A14,Hulptabel!$I$3:$I$152,AB$3)</f>
        <v>0</v>
      </c>
      <c r="AC14" s="286">
        <f>SUMIFS(Hulptabel!$AC$3:$AC$152,Hulptabel!$D$3:$D$152,$A14,Hulptabel!$I$3:$I$152,AC$3)</f>
        <v>0</v>
      </c>
      <c r="AD14" s="286">
        <f>SUMIFS(Hulptabel!$AC$3:$AC$152,Hulptabel!$D$3:$D$152,$A14,Hulptabel!$I$3:$I$152,AD$3)</f>
        <v>0</v>
      </c>
      <c r="AE14" s="286">
        <f>SUMIFS(Hulptabel!$AC$3:$AC$152,Hulptabel!$D$3:$D$152,$A14,Hulptabel!$I$3:$I$152,AE$3)</f>
        <v>0</v>
      </c>
      <c r="AF14" s="286">
        <f>SUMIFS(Hulptabel!$AC$3:$AC$152,Hulptabel!$D$3:$D$152,$A14,Hulptabel!$I$3:$I$152,AF$3)</f>
        <v>0</v>
      </c>
      <c r="AG14" s="286">
        <f>SUMIFS(Hulptabel!$AC$3:$AC$152,Hulptabel!$D$3:$D$152,$A14,Hulptabel!$I$3:$I$152,AG$3)</f>
        <v>0</v>
      </c>
      <c r="AH14" s="286">
        <f>SUMIFS(Hulptabel!$AC$3:$AC$152,Hulptabel!$D$3:$D$152,$A14,Hulptabel!$I$3:$I$152,AH$3)</f>
        <v>0</v>
      </c>
      <c r="AI14" s="286">
        <f>SUMIFS(Hulptabel!$AC$3:$AC$152,Hulptabel!$D$3:$D$152,$A14,Hulptabel!$I$3:$I$152,AI$3)</f>
        <v>0</v>
      </c>
      <c r="AJ14" s="286">
        <f>SUMIFS(Hulptabel!$AC$3:$AC$152,Hulptabel!$D$3:$D$152,$A14,Hulptabel!$I$3:$I$152,AJ$3)</f>
        <v>0</v>
      </c>
      <c r="AK14" s="286">
        <f>SUMIFS(Hulptabel!$AC$3:$AC$152,Hulptabel!$D$3:$D$152,$A14,Hulptabel!$I$3:$I$152,AK$3)</f>
        <v>0</v>
      </c>
      <c r="AL14" s="286">
        <f>SUMIFS(Hulptabel!$AC$3:$AC$152,Hulptabel!$D$3:$D$152,$A14,Hulptabel!$I$3:$I$152,AL$3)</f>
        <v>0</v>
      </c>
      <c r="AM14" s="286">
        <f>SUMIFS(Hulptabel!$AC$3:$AC$152,Hulptabel!$D$3:$D$152,$A14,Hulptabel!$I$3:$I$152,AM$3)</f>
        <v>0</v>
      </c>
      <c r="AN14" s="286">
        <f>SUMIFS(Hulptabel!$AC$3:$AC$152,Hulptabel!$D$3:$D$152,$A14,Hulptabel!$I$3:$I$152,AN$3)</f>
        <v>0</v>
      </c>
      <c r="AO14" s="286">
        <f>SUMIFS(Hulptabel!$AC$3:$AC$152,Hulptabel!$D$3:$D$152,$A14,Hulptabel!$I$3:$I$152,AO$3)</f>
        <v>0</v>
      </c>
      <c r="AP14" s="286">
        <f>SUMIFS(Hulptabel!$AC$3:$AC$152,Hulptabel!$D$3:$D$152,$A14,Hulptabel!$I$3:$I$152,AP$3)</f>
        <v>0</v>
      </c>
      <c r="AQ14" s="287">
        <f>SUMIFS(Hulptabel!$AC$3:$AC$152,Hulptabel!$D$3:$D$152,$A14,Hulptabel!$I$3:$I$152,AQ$3)</f>
        <v>0</v>
      </c>
    </row>
    <row r="15" spans="1:44" x14ac:dyDescent="0.25">
      <c r="A15" s="285" t="s">
        <v>291</v>
      </c>
      <c r="B15" s="281">
        <f>SUMIFS(Hulptabel!$AC$3:$AC$152,Hulptabel!$D$3:$D$152,A15)</f>
        <v>22270</v>
      </c>
      <c r="C15" s="281">
        <f t="shared" si="3"/>
        <v>11135</v>
      </c>
      <c r="D15" s="286">
        <f>SUMIFS(Hulptabel!$AC$3:$AC$152,Hulptabel!$D$3:$D$152,$A15,Hulptabel!$I$3:$I$152,D$3)+SUMIFS(Hulptabel!$AC$3:$AC$152,Hulptabel!$D$3:$D$152,$A15,Hulptabel!$E$3:$E$152,2012)</f>
        <v>0</v>
      </c>
      <c r="E15" s="286">
        <f>SUMIFS(Hulptabel!$AC$3:$AC$152,Hulptabel!$D$3:$D$152,$A15,Hulptabel!$I$3:$I$152,E$3)</f>
        <v>0</v>
      </c>
      <c r="F15" s="286">
        <f>SUMIFS(Hulptabel!$AC$3:$AC$152,Hulptabel!$D$3:$D$152,$A15,Hulptabel!$I$3:$I$152,F$3)</f>
        <v>0</v>
      </c>
      <c r="G15" s="286">
        <f>SUMIFS(Hulptabel!$AC$3:$AC$152,Hulptabel!$D$3:$D$152,$A15,Hulptabel!$I$3:$I$152,G$3)</f>
        <v>0</v>
      </c>
      <c r="H15" s="286">
        <f>SUMIFS(Hulptabel!$AC$3:$AC$152,Hulptabel!$D$3:$D$152,$A15,Hulptabel!$I$3:$I$152,H$3)</f>
        <v>0</v>
      </c>
      <c r="I15" s="286">
        <f>SUMIFS(Hulptabel!$AC$3:$AC$152,Hulptabel!$D$3:$D$152,$A15,Hulptabel!$I$3:$I$152,I$3)</f>
        <v>0</v>
      </c>
      <c r="J15" s="286">
        <f>SUMIFS(Hulptabel!$AC$3:$AC$152,Hulptabel!$D$3:$D$152,$A15,Hulptabel!$I$3:$I$152,J$3)</f>
        <v>0</v>
      </c>
      <c r="K15" s="286">
        <f>SUMIFS(Hulptabel!$AC$3:$AC$152,Hulptabel!$D$3:$D$152,$A15,Hulptabel!$I$3:$I$152,K$3)</f>
        <v>0</v>
      </c>
      <c r="L15" s="286">
        <f>SUMIFS(Hulptabel!$AC$3:$AC$152,Hulptabel!$D$3:$D$152,$A15,Hulptabel!$I$3:$I$152,L$3)</f>
        <v>0</v>
      </c>
      <c r="M15" s="286">
        <f>SUMIFS(Hulptabel!$AC$3:$AC$152,Hulptabel!$D$3:$D$152,$A15,Hulptabel!$I$3:$I$152,M$3)</f>
        <v>0</v>
      </c>
      <c r="N15" s="286">
        <f>SUMIFS(Hulptabel!$AC$3:$AC$152,Hulptabel!$D$3:$D$152,$A15,Hulptabel!$I$3:$I$152,N$3)</f>
        <v>0</v>
      </c>
      <c r="O15" s="286">
        <f>SUMIFS(Hulptabel!$AC$3:$AC$152,Hulptabel!$D$3:$D$152,$A15,Hulptabel!$I$3:$I$152,O$3)</f>
        <v>0</v>
      </c>
      <c r="P15" s="286">
        <f>SUMIFS(Hulptabel!$AC$3:$AC$152,Hulptabel!$D$3:$D$152,$A15,Hulptabel!$I$3:$I$152,P$3)</f>
        <v>0</v>
      </c>
      <c r="Q15" s="286">
        <f>SUMIFS(Hulptabel!$AC$3:$AC$152,Hulptabel!$D$3:$D$152,$A15,Hulptabel!$I$3:$I$152,Q$3)</f>
        <v>0</v>
      </c>
      <c r="R15" s="286">
        <f>SUMIFS(Hulptabel!$AC$3:$AC$152,Hulptabel!$D$3:$D$152,$A15,Hulptabel!$I$3:$I$152,R$3)</f>
        <v>0</v>
      </c>
      <c r="S15" s="286">
        <f>SUMIFS(Hulptabel!$AC$3:$AC$152,Hulptabel!$D$3:$D$152,$A15,Hulptabel!$I$3:$I$152,S$3)</f>
        <v>0</v>
      </c>
      <c r="T15" s="286">
        <f>SUMIFS(Hulptabel!$AC$3:$AC$152,Hulptabel!$D$3:$D$152,$A15,Hulptabel!$I$3:$I$152,T$3)</f>
        <v>0</v>
      </c>
      <c r="U15" s="286">
        <f>SUMIFS(Hulptabel!$AC$3:$AC$152,Hulptabel!$D$3:$D$152,$A15,Hulptabel!$I$3:$I$152,U$3)</f>
        <v>0</v>
      </c>
      <c r="V15" s="286">
        <f>SUMIFS(Hulptabel!$AC$3:$AC$152,Hulptabel!$D$3:$D$152,$A15,Hulptabel!$I$3:$I$152,V$3)</f>
        <v>0</v>
      </c>
      <c r="W15" s="286">
        <f>SUMIFS(Hulptabel!$AC$3:$AC$152,Hulptabel!$D$3:$D$152,$A15,Hulptabel!$I$3:$I$152,W$3)</f>
        <v>0</v>
      </c>
      <c r="X15" s="286">
        <f>SUMIFS(Hulptabel!$AC$3:$AC$152,Hulptabel!$D$3:$D$152,$A15,Hulptabel!$I$3:$I$152,X$3)</f>
        <v>0</v>
      </c>
      <c r="Y15" s="286">
        <f>SUMIFS(Hulptabel!$AC$3:$AC$152,Hulptabel!$D$3:$D$152,$A15,Hulptabel!$I$3:$I$152,Y$3)</f>
        <v>0</v>
      </c>
      <c r="Z15" s="286">
        <f>SUMIFS(Hulptabel!$AC$3:$AC$152,Hulptabel!$D$3:$D$152,$A15,Hulptabel!$I$3:$I$152,Z$3)</f>
        <v>11135</v>
      </c>
      <c r="AA15" s="286">
        <f>SUMIFS(Hulptabel!$AC$3:$AC$152,Hulptabel!$D$3:$D$152,$A15,Hulptabel!$I$3:$I$152,AA$3)</f>
        <v>0</v>
      </c>
      <c r="AB15" s="286">
        <f>SUMIFS(Hulptabel!$AC$3:$AC$152,Hulptabel!$D$3:$D$152,$A15,Hulptabel!$I$3:$I$152,AB$3)</f>
        <v>0</v>
      </c>
      <c r="AC15" s="286">
        <f>SUMIFS(Hulptabel!$AC$3:$AC$152,Hulptabel!$D$3:$D$152,$A15,Hulptabel!$I$3:$I$152,AC$3)</f>
        <v>0</v>
      </c>
      <c r="AD15" s="286">
        <f>SUMIFS(Hulptabel!$AC$3:$AC$152,Hulptabel!$D$3:$D$152,$A15,Hulptabel!$I$3:$I$152,AD$3)</f>
        <v>0</v>
      </c>
      <c r="AE15" s="286">
        <f>SUMIFS(Hulptabel!$AC$3:$AC$152,Hulptabel!$D$3:$D$152,$A15,Hulptabel!$I$3:$I$152,AE$3)</f>
        <v>0</v>
      </c>
      <c r="AF15" s="286">
        <f>SUMIFS(Hulptabel!$AC$3:$AC$152,Hulptabel!$D$3:$D$152,$A15,Hulptabel!$I$3:$I$152,AF$3)</f>
        <v>0</v>
      </c>
      <c r="AG15" s="286">
        <f>SUMIFS(Hulptabel!$AC$3:$AC$152,Hulptabel!$D$3:$D$152,$A15,Hulptabel!$I$3:$I$152,AG$3)</f>
        <v>0</v>
      </c>
      <c r="AH15" s="286">
        <f>SUMIFS(Hulptabel!$AC$3:$AC$152,Hulptabel!$D$3:$D$152,$A15,Hulptabel!$I$3:$I$152,AH$3)</f>
        <v>0</v>
      </c>
      <c r="AI15" s="286">
        <f>SUMIFS(Hulptabel!$AC$3:$AC$152,Hulptabel!$D$3:$D$152,$A15,Hulptabel!$I$3:$I$152,AI$3)</f>
        <v>0</v>
      </c>
      <c r="AJ15" s="286">
        <f>SUMIFS(Hulptabel!$AC$3:$AC$152,Hulptabel!$D$3:$D$152,$A15,Hulptabel!$I$3:$I$152,AJ$3)</f>
        <v>0</v>
      </c>
      <c r="AK15" s="286">
        <f>SUMIFS(Hulptabel!$AC$3:$AC$152,Hulptabel!$D$3:$D$152,$A15,Hulptabel!$I$3:$I$152,AK$3)</f>
        <v>0</v>
      </c>
      <c r="AL15" s="286">
        <f>SUMIFS(Hulptabel!$AC$3:$AC$152,Hulptabel!$D$3:$D$152,$A15,Hulptabel!$I$3:$I$152,AL$3)</f>
        <v>0</v>
      </c>
      <c r="AM15" s="286">
        <f>SUMIFS(Hulptabel!$AC$3:$AC$152,Hulptabel!$D$3:$D$152,$A15,Hulptabel!$I$3:$I$152,AM$3)</f>
        <v>0</v>
      </c>
      <c r="AN15" s="286">
        <f>SUMIFS(Hulptabel!$AC$3:$AC$152,Hulptabel!$D$3:$D$152,$A15,Hulptabel!$I$3:$I$152,AN$3)</f>
        <v>0</v>
      </c>
      <c r="AO15" s="286">
        <f>SUMIFS(Hulptabel!$AC$3:$AC$152,Hulptabel!$D$3:$D$152,$A15,Hulptabel!$I$3:$I$152,AO$3)</f>
        <v>0</v>
      </c>
      <c r="AP15" s="286">
        <f>SUMIFS(Hulptabel!$AC$3:$AC$152,Hulptabel!$D$3:$D$152,$A15,Hulptabel!$I$3:$I$152,AP$3)</f>
        <v>0</v>
      </c>
      <c r="AQ15" s="287">
        <f>SUMIFS(Hulptabel!$AC$3:$AC$152,Hulptabel!$D$3:$D$152,$A15,Hulptabel!$I$3:$I$152,AQ$3)</f>
        <v>0</v>
      </c>
    </row>
    <row r="16" spans="1:44" x14ac:dyDescent="0.25">
      <c r="A16" s="285" t="s">
        <v>278</v>
      </c>
      <c r="B16" s="281">
        <f>SUMIFS(Hulptabel!$AC$3:$AC$152,Hulptabel!$D$3:$D$152,A16)</f>
        <v>47010</v>
      </c>
      <c r="C16" s="281">
        <f t="shared" si="3"/>
        <v>0</v>
      </c>
      <c r="D16" s="286">
        <f>SUMIFS(Hulptabel!$AC$3:$AC$152,Hulptabel!$D$3:$D$152,$A16,Hulptabel!$I$3:$I$152,D$3)+SUMIFS(Hulptabel!$AC$3:$AC$152,Hulptabel!$D$3:$D$152,$A16,Hulptabel!$E$3:$E$152,2012)</f>
        <v>0</v>
      </c>
      <c r="E16" s="286">
        <f>SUMIFS(Hulptabel!$AC$3:$AC$152,Hulptabel!$D$3:$D$152,$A16,Hulptabel!$I$3:$I$152,E$3)</f>
        <v>0</v>
      </c>
      <c r="F16" s="286">
        <f>SUMIFS(Hulptabel!$AC$3:$AC$152,Hulptabel!$D$3:$D$152,$A16,Hulptabel!$I$3:$I$152,F$3)</f>
        <v>0</v>
      </c>
      <c r="G16" s="286">
        <f>SUMIFS(Hulptabel!$AC$3:$AC$152,Hulptabel!$D$3:$D$152,$A16,Hulptabel!$I$3:$I$152,G$3)</f>
        <v>0</v>
      </c>
      <c r="H16" s="286">
        <f>SUMIFS(Hulptabel!$AC$3:$AC$152,Hulptabel!$D$3:$D$152,$A16,Hulptabel!$I$3:$I$152,H$3)</f>
        <v>0</v>
      </c>
      <c r="I16" s="286">
        <f>SUMIFS(Hulptabel!$AC$3:$AC$152,Hulptabel!$D$3:$D$152,$A16,Hulptabel!$I$3:$I$152,I$3)</f>
        <v>0</v>
      </c>
      <c r="J16" s="286">
        <f>SUMIFS(Hulptabel!$AC$3:$AC$152,Hulptabel!$D$3:$D$152,$A16,Hulptabel!$I$3:$I$152,J$3)</f>
        <v>0</v>
      </c>
      <c r="K16" s="286">
        <f>SUMIFS(Hulptabel!$AC$3:$AC$152,Hulptabel!$D$3:$D$152,$A16,Hulptabel!$I$3:$I$152,K$3)</f>
        <v>0</v>
      </c>
      <c r="L16" s="286">
        <f>SUMIFS(Hulptabel!$AC$3:$AC$152,Hulptabel!$D$3:$D$152,$A16,Hulptabel!$I$3:$I$152,L$3)</f>
        <v>0</v>
      </c>
      <c r="M16" s="286">
        <f>SUMIFS(Hulptabel!$AC$3:$AC$152,Hulptabel!$D$3:$D$152,$A16,Hulptabel!$I$3:$I$152,M$3)</f>
        <v>0</v>
      </c>
      <c r="N16" s="286">
        <f>SUMIFS(Hulptabel!$AC$3:$AC$152,Hulptabel!$D$3:$D$152,$A16,Hulptabel!$I$3:$I$152,N$3)</f>
        <v>0</v>
      </c>
      <c r="O16" s="286">
        <f>SUMIFS(Hulptabel!$AC$3:$AC$152,Hulptabel!$D$3:$D$152,$A16,Hulptabel!$I$3:$I$152,O$3)</f>
        <v>0</v>
      </c>
      <c r="P16" s="286">
        <f>SUMIFS(Hulptabel!$AC$3:$AC$152,Hulptabel!$D$3:$D$152,$A16,Hulptabel!$I$3:$I$152,P$3)</f>
        <v>15670</v>
      </c>
      <c r="Q16" s="286">
        <f>SUMIFS(Hulptabel!$AC$3:$AC$152,Hulptabel!$D$3:$D$152,$A16,Hulptabel!$I$3:$I$152,Q$3)</f>
        <v>0</v>
      </c>
      <c r="R16" s="286">
        <f>SUMIFS(Hulptabel!$AC$3:$AC$152,Hulptabel!$D$3:$D$152,$A16,Hulptabel!$I$3:$I$152,R$3)</f>
        <v>0</v>
      </c>
      <c r="S16" s="286">
        <f>SUMIFS(Hulptabel!$AC$3:$AC$152,Hulptabel!$D$3:$D$152,$A16,Hulptabel!$I$3:$I$152,S$3)</f>
        <v>0</v>
      </c>
      <c r="T16" s="286">
        <f>SUMIFS(Hulptabel!$AC$3:$AC$152,Hulptabel!$D$3:$D$152,$A16,Hulptabel!$I$3:$I$152,T$3)</f>
        <v>0</v>
      </c>
      <c r="U16" s="286">
        <f>SUMIFS(Hulptabel!$AC$3:$AC$152,Hulptabel!$D$3:$D$152,$A16,Hulptabel!$I$3:$I$152,U$3)</f>
        <v>0</v>
      </c>
      <c r="V16" s="286">
        <f>SUMIFS(Hulptabel!$AC$3:$AC$152,Hulptabel!$D$3:$D$152,$A16,Hulptabel!$I$3:$I$152,V$3)</f>
        <v>0</v>
      </c>
      <c r="W16" s="286">
        <f>SUMIFS(Hulptabel!$AC$3:$AC$152,Hulptabel!$D$3:$D$152,$A16,Hulptabel!$I$3:$I$152,W$3)</f>
        <v>0</v>
      </c>
      <c r="X16" s="286">
        <f>SUMIFS(Hulptabel!$AC$3:$AC$152,Hulptabel!$D$3:$D$152,$A16,Hulptabel!$I$3:$I$152,X$3)</f>
        <v>15670</v>
      </c>
      <c r="Y16" s="286">
        <f>SUMIFS(Hulptabel!$AC$3:$AC$152,Hulptabel!$D$3:$D$152,$A16,Hulptabel!$I$3:$I$152,Y$3)</f>
        <v>0</v>
      </c>
      <c r="Z16" s="286">
        <f>SUMIFS(Hulptabel!$AC$3:$AC$152,Hulptabel!$D$3:$D$152,$A16,Hulptabel!$I$3:$I$152,Z$3)</f>
        <v>0</v>
      </c>
      <c r="AA16" s="286">
        <f>SUMIFS(Hulptabel!$AC$3:$AC$152,Hulptabel!$D$3:$D$152,$A16,Hulptabel!$I$3:$I$152,AA$3)</f>
        <v>0</v>
      </c>
      <c r="AB16" s="286">
        <f>SUMIFS(Hulptabel!$AC$3:$AC$152,Hulptabel!$D$3:$D$152,$A16,Hulptabel!$I$3:$I$152,AB$3)</f>
        <v>0</v>
      </c>
      <c r="AC16" s="286">
        <f>SUMIFS(Hulptabel!$AC$3:$AC$152,Hulptabel!$D$3:$D$152,$A16,Hulptabel!$I$3:$I$152,AC$3)</f>
        <v>0</v>
      </c>
      <c r="AD16" s="286">
        <f>SUMIFS(Hulptabel!$AC$3:$AC$152,Hulptabel!$D$3:$D$152,$A16,Hulptabel!$I$3:$I$152,AD$3)</f>
        <v>0</v>
      </c>
      <c r="AE16" s="286">
        <f>SUMIFS(Hulptabel!$AC$3:$AC$152,Hulptabel!$D$3:$D$152,$A16,Hulptabel!$I$3:$I$152,AE$3)</f>
        <v>0</v>
      </c>
      <c r="AF16" s="286">
        <f>SUMIFS(Hulptabel!$AC$3:$AC$152,Hulptabel!$D$3:$D$152,$A16,Hulptabel!$I$3:$I$152,AF$3)</f>
        <v>0</v>
      </c>
      <c r="AG16" s="286">
        <f>SUMIFS(Hulptabel!$AC$3:$AC$152,Hulptabel!$D$3:$D$152,$A16,Hulptabel!$I$3:$I$152,AG$3)</f>
        <v>15670</v>
      </c>
      <c r="AH16" s="286">
        <f>SUMIFS(Hulptabel!$AC$3:$AC$152,Hulptabel!$D$3:$D$152,$A16,Hulptabel!$I$3:$I$152,AH$3)</f>
        <v>0</v>
      </c>
      <c r="AI16" s="286">
        <f>SUMIFS(Hulptabel!$AC$3:$AC$152,Hulptabel!$D$3:$D$152,$A16,Hulptabel!$I$3:$I$152,AI$3)</f>
        <v>0</v>
      </c>
      <c r="AJ16" s="286">
        <f>SUMIFS(Hulptabel!$AC$3:$AC$152,Hulptabel!$D$3:$D$152,$A16,Hulptabel!$I$3:$I$152,AJ$3)</f>
        <v>0</v>
      </c>
      <c r="AK16" s="286">
        <f>SUMIFS(Hulptabel!$AC$3:$AC$152,Hulptabel!$D$3:$D$152,$A16,Hulptabel!$I$3:$I$152,AK$3)</f>
        <v>0</v>
      </c>
      <c r="AL16" s="286">
        <f>SUMIFS(Hulptabel!$AC$3:$AC$152,Hulptabel!$D$3:$D$152,$A16,Hulptabel!$I$3:$I$152,AL$3)</f>
        <v>0</v>
      </c>
      <c r="AM16" s="286">
        <f>SUMIFS(Hulptabel!$AC$3:$AC$152,Hulptabel!$D$3:$D$152,$A16,Hulptabel!$I$3:$I$152,AM$3)</f>
        <v>0</v>
      </c>
      <c r="AN16" s="286">
        <f>SUMIFS(Hulptabel!$AC$3:$AC$152,Hulptabel!$D$3:$D$152,$A16,Hulptabel!$I$3:$I$152,AN$3)</f>
        <v>0</v>
      </c>
      <c r="AO16" s="286">
        <f>SUMIFS(Hulptabel!$AC$3:$AC$152,Hulptabel!$D$3:$D$152,$A16,Hulptabel!$I$3:$I$152,AO$3)</f>
        <v>0</v>
      </c>
      <c r="AP16" s="286">
        <f>SUMIFS(Hulptabel!$AC$3:$AC$152,Hulptabel!$D$3:$D$152,$A16,Hulptabel!$I$3:$I$152,AP$3)</f>
        <v>0</v>
      </c>
      <c r="AQ16" s="287">
        <f>SUMIFS(Hulptabel!$AC$3:$AC$152,Hulptabel!$D$3:$D$152,$A16,Hulptabel!$I$3:$I$152,AQ$3)</f>
        <v>0</v>
      </c>
    </row>
    <row r="17" spans="1:44" x14ac:dyDescent="0.25">
      <c r="A17" s="285" t="s">
        <v>327</v>
      </c>
      <c r="B17" s="281">
        <f>SUMIFS(Hulptabel!$AC$3:$AC$152,Hulptabel!$D$3:$D$152,A17)</f>
        <v>10405</v>
      </c>
      <c r="C17" s="281">
        <f t="shared" si="3"/>
        <v>0</v>
      </c>
      <c r="D17" s="286">
        <f>SUMIFS(Hulptabel!$AC$3:$AC$152,Hulptabel!$D$3:$D$152,$A17,Hulptabel!$I$3:$I$152,D$3)+SUMIFS(Hulptabel!$AC$3:$AC$152,Hulptabel!$D$3:$D$152,$A17,Hulptabel!$E$3:$E$152,2012)</f>
        <v>0</v>
      </c>
      <c r="E17" s="286">
        <f>SUMIFS(Hulptabel!$AC$3:$AC$152,Hulptabel!$D$3:$D$152,$A17,Hulptabel!$I$3:$I$152,E$3)</f>
        <v>0</v>
      </c>
      <c r="F17" s="286">
        <f>SUMIFS(Hulptabel!$AC$3:$AC$152,Hulptabel!$D$3:$D$152,$A17,Hulptabel!$I$3:$I$152,F$3)</f>
        <v>0</v>
      </c>
      <c r="G17" s="286">
        <f>SUMIFS(Hulptabel!$AC$3:$AC$152,Hulptabel!$D$3:$D$152,$A17,Hulptabel!$I$3:$I$152,G$3)</f>
        <v>0</v>
      </c>
      <c r="H17" s="286">
        <f>SUMIFS(Hulptabel!$AC$3:$AC$152,Hulptabel!$D$3:$D$152,$A17,Hulptabel!$I$3:$I$152,H$3)</f>
        <v>0</v>
      </c>
      <c r="I17" s="286">
        <f>SUMIFS(Hulptabel!$AC$3:$AC$152,Hulptabel!$D$3:$D$152,$A17,Hulptabel!$I$3:$I$152,I$3)</f>
        <v>0</v>
      </c>
      <c r="J17" s="286">
        <f>SUMIFS(Hulptabel!$AC$3:$AC$152,Hulptabel!$D$3:$D$152,$A17,Hulptabel!$I$3:$I$152,J$3)</f>
        <v>0</v>
      </c>
      <c r="K17" s="286">
        <f>SUMIFS(Hulptabel!$AC$3:$AC$152,Hulptabel!$D$3:$D$152,$A17,Hulptabel!$I$3:$I$152,K$3)</f>
        <v>0</v>
      </c>
      <c r="L17" s="286">
        <f>SUMIFS(Hulptabel!$AC$3:$AC$152,Hulptabel!$D$3:$D$152,$A17,Hulptabel!$I$3:$I$152,L$3)</f>
        <v>0</v>
      </c>
      <c r="M17" s="286">
        <f>SUMIFS(Hulptabel!$AC$3:$AC$152,Hulptabel!$D$3:$D$152,$A17,Hulptabel!$I$3:$I$152,M$3)</f>
        <v>0</v>
      </c>
      <c r="N17" s="286">
        <f>SUMIFS(Hulptabel!$AC$3:$AC$152,Hulptabel!$D$3:$D$152,$A17,Hulptabel!$I$3:$I$152,N$3)</f>
        <v>0</v>
      </c>
      <c r="O17" s="286">
        <f>SUMIFS(Hulptabel!$AC$3:$AC$152,Hulptabel!$D$3:$D$152,$A17,Hulptabel!$I$3:$I$152,O$3)</f>
        <v>0</v>
      </c>
      <c r="P17" s="286">
        <f>SUMIFS(Hulptabel!$AC$3:$AC$152,Hulptabel!$D$3:$D$152,$A17,Hulptabel!$I$3:$I$152,P$3)</f>
        <v>0</v>
      </c>
      <c r="Q17" s="286">
        <f>SUMIFS(Hulptabel!$AC$3:$AC$152,Hulptabel!$D$3:$D$152,$A17,Hulptabel!$I$3:$I$152,Q$3)</f>
        <v>0</v>
      </c>
      <c r="R17" s="286">
        <f>SUMIFS(Hulptabel!$AC$3:$AC$152,Hulptabel!$D$3:$D$152,$A17,Hulptabel!$I$3:$I$152,R$3)</f>
        <v>0</v>
      </c>
      <c r="S17" s="286">
        <f>SUMIFS(Hulptabel!$AC$3:$AC$152,Hulptabel!$D$3:$D$152,$A17,Hulptabel!$I$3:$I$152,S$3)</f>
        <v>0</v>
      </c>
      <c r="T17" s="286">
        <f>SUMIFS(Hulptabel!$AC$3:$AC$152,Hulptabel!$D$3:$D$152,$A17,Hulptabel!$I$3:$I$152,T$3)</f>
        <v>0</v>
      </c>
      <c r="U17" s="286">
        <f>SUMIFS(Hulptabel!$AC$3:$AC$152,Hulptabel!$D$3:$D$152,$A17,Hulptabel!$I$3:$I$152,U$3)</f>
        <v>0</v>
      </c>
      <c r="V17" s="286">
        <f>SUMIFS(Hulptabel!$AC$3:$AC$152,Hulptabel!$D$3:$D$152,$A17,Hulptabel!$I$3:$I$152,V$3)</f>
        <v>0</v>
      </c>
      <c r="W17" s="286">
        <f>SUMIFS(Hulptabel!$AC$3:$AC$152,Hulptabel!$D$3:$D$152,$A17,Hulptabel!$I$3:$I$152,W$3)</f>
        <v>0</v>
      </c>
      <c r="X17" s="286">
        <f>SUMIFS(Hulptabel!$AC$3:$AC$152,Hulptabel!$D$3:$D$152,$A17,Hulptabel!$I$3:$I$152,X$3)</f>
        <v>0</v>
      </c>
      <c r="Y17" s="286">
        <f>SUMIFS(Hulptabel!$AC$3:$AC$152,Hulptabel!$D$3:$D$152,$A17,Hulptabel!$I$3:$I$152,Y$3)</f>
        <v>0</v>
      </c>
      <c r="Z17" s="286">
        <f>SUMIFS(Hulptabel!$AC$3:$AC$152,Hulptabel!$D$3:$D$152,$A17,Hulptabel!$I$3:$I$152,Z$3)</f>
        <v>10405</v>
      </c>
      <c r="AA17" s="286">
        <f>SUMIFS(Hulptabel!$AC$3:$AC$152,Hulptabel!$D$3:$D$152,$A17,Hulptabel!$I$3:$I$152,AA$3)</f>
        <v>0</v>
      </c>
      <c r="AB17" s="286">
        <f>SUMIFS(Hulptabel!$AC$3:$AC$152,Hulptabel!$D$3:$D$152,$A17,Hulptabel!$I$3:$I$152,AB$3)</f>
        <v>0</v>
      </c>
      <c r="AC17" s="286">
        <f>SUMIFS(Hulptabel!$AC$3:$AC$152,Hulptabel!$D$3:$D$152,$A17,Hulptabel!$I$3:$I$152,AC$3)</f>
        <v>0</v>
      </c>
      <c r="AD17" s="286">
        <f>SUMIFS(Hulptabel!$AC$3:$AC$152,Hulptabel!$D$3:$D$152,$A17,Hulptabel!$I$3:$I$152,AD$3)</f>
        <v>0</v>
      </c>
      <c r="AE17" s="286">
        <f>SUMIFS(Hulptabel!$AC$3:$AC$152,Hulptabel!$D$3:$D$152,$A17,Hulptabel!$I$3:$I$152,AE$3)</f>
        <v>0</v>
      </c>
      <c r="AF17" s="286">
        <f>SUMIFS(Hulptabel!$AC$3:$AC$152,Hulptabel!$D$3:$D$152,$A17,Hulptabel!$I$3:$I$152,AF$3)</f>
        <v>0</v>
      </c>
      <c r="AG17" s="286">
        <f>SUMIFS(Hulptabel!$AC$3:$AC$152,Hulptabel!$D$3:$D$152,$A17,Hulptabel!$I$3:$I$152,AG$3)</f>
        <v>0</v>
      </c>
      <c r="AH17" s="286">
        <f>SUMIFS(Hulptabel!$AC$3:$AC$152,Hulptabel!$D$3:$D$152,$A17,Hulptabel!$I$3:$I$152,AH$3)</f>
        <v>0</v>
      </c>
      <c r="AI17" s="286">
        <f>SUMIFS(Hulptabel!$AC$3:$AC$152,Hulptabel!$D$3:$D$152,$A17,Hulptabel!$I$3:$I$152,AI$3)</f>
        <v>0</v>
      </c>
      <c r="AJ17" s="286">
        <f>SUMIFS(Hulptabel!$AC$3:$AC$152,Hulptabel!$D$3:$D$152,$A17,Hulptabel!$I$3:$I$152,AJ$3)</f>
        <v>0</v>
      </c>
      <c r="AK17" s="286">
        <f>SUMIFS(Hulptabel!$AC$3:$AC$152,Hulptabel!$D$3:$D$152,$A17,Hulptabel!$I$3:$I$152,AK$3)</f>
        <v>0</v>
      </c>
      <c r="AL17" s="286">
        <f>SUMIFS(Hulptabel!$AC$3:$AC$152,Hulptabel!$D$3:$D$152,$A17,Hulptabel!$I$3:$I$152,AL$3)</f>
        <v>0</v>
      </c>
      <c r="AM17" s="286">
        <f>SUMIFS(Hulptabel!$AC$3:$AC$152,Hulptabel!$D$3:$D$152,$A17,Hulptabel!$I$3:$I$152,AM$3)</f>
        <v>0</v>
      </c>
      <c r="AN17" s="286">
        <f>SUMIFS(Hulptabel!$AC$3:$AC$152,Hulptabel!$D$3:$D$152,$A17,Hulptabel!$I$3:$I$152,AN$3)</f>
        <v>0</v>
      </c>
      <c r="AO17" s="286">
        <f>SUMIFS(Hulptabel!$AC$3:$AC$152,Hulptabel!$D$3:$D$152,$A17,Hulptabel!$I$3:$I$152,AO$3)</f>
        <v>0</v>
      </c>
      <c r="AP17" s="286">
        <f>SUMIFS(Hulptabel!$AC$3:$AC$152,Hulptabel!$D$3:$D$152,$A17,Hulptabel!$I$3:$I$152,AP$3)</f>
        <v>0</v>
      </c>
      <c r="AQ17" s="287">
        <f>SUMIFS(Hulptabel!$AC$3:$AC$152,Hulptabel!$D$3:$D$152,$A17,Hulptabel!$I$3:$I$152,AQ$3)</f>
        <v>0</v>
      </c>
    </row>
    <row r="18" spans="1:44" x14ac:dyDescent="0.25">
      <c r="A18" s="285" t="s">
        <v>223</v>
      </c>
      <c r="B18" s="281">
        <f>SUMIFS(Hulptabel!$AC$3:$AC$152,Hulptabel!$D$3:$D$152,A18)</f>
        <v>27700</v>
      </c>
      <c r="C18" s="281">
        <f t="shared" si="3"/>
        <v>0</v>
      </c>
      <c r="D18" s="286">
        <f>SUMIFS(Hulptabel!$AC$3:$AC$152,Hulptabel!$D$3:$D$152,$A18,Hulptabel!$I$3:$I$152,D$3)+SUMIFS(Hulptabel!$AC$3:$AC$152,Hulptabel!$D$3:$D$152,$A18,Hulptabel!$E$3:$E$152,2012)</f>
        <v>0</v>
      </c>
      <c r="E18" s="286">
        <f>SUMIFS(Hulptabel!$AC$3:$AC$152,Hulptabel!$D$3:$D$152,$A18,Hulptabel!$I$3:$I$152,E$3)</f>
        <v>0</v>
      </c>
      <c r="F18" s="286">
        <f>SUMIFS(Hulptabel!$AC$3:$AC$152,Hulptabel!$D$3:$D$152,$A18,Hulptabel!$I$3:$I$152,F$3)</f>
        <v>0</v>
      </c>
      <c r="G18" s="286">
        <f>SUMIFS(Hulptabel!$AC$3:$AC$152,Hulptabel!$D$3:$D$152,$A18,Hulptabel!$I$3:$I$152,G$3)</f>
        <v>13850</v>
      </c>
      <c r="H18" s="286">
        <f>SUMIFS(Hulptabel!$AC$3:$AC$152,Hulptabel!$D$3:$D$152,$A18,Hulptabel!$I$3:$I$152,H$3)</f>
        <v>0</v>
      </c>
      <c r="I18" s="286">
        <f>SUMIFS(Hulptabel!$AC$3:$AC$152,Hulptabel!$D$3:$D$152,$A18,Hulptabel!$I$3:$I$152,I$3)</f>
        <v>0</v>
      </c>
      <c r="J18" s="286">
        <f>SUMIFS(Hulptabel!$AC$3:$AC$152,Hulptabel!$D$3:$D$152,$A18,Hulptabel!$I$3:$I$152,J$3)</f>
        <v>0</v>
      </c>
      <c r="K18" s="286">
        <f>SUMIFS(Hulptabel!$AC$3:$AC$152,Hulptabel!$D$3:$D$152,$A18,Hulptabel!$I$3:$I$152,K$3)</f>
        <v>0</v>
      </c>
      <c r="L18" s="286">
        <f>SUMIFS(Hulptabel!$AC$3:$AC$152,Hulptabel!$D$3:$D$152,$A18,Hulptabel!$I$3:$I$152,L$3)</f>
        <v>0</v>
      </c>
      <c r="M18" s="286">
        <f>SUMIFS(Hulptabel!$AC$3:$AC$152,Hulptabel!$D$3:$D$152,$A18,Hulptabel!$I$3:$I$152,M$3)</f>
        <v>0</v>
      </c>
      <c r="N18" s="286">
        <f>SUMIFS(Hulptabel!$AC$3:$AC$152,Hulptabel!$D$3:$D$152,$A18,Hulptabel!$I$3:$I$152,N$3)</f>
        <v>0</v>
      </c>
      <c r="O18" s="286">
        <f>SUMIFS(Hulptabel!$AC$3:$AC$152,Hulptabel!$D$3:$D$152,$A18,Hulptabel!$I$3:$I$152,O$3)</f>
        <v>0</v>
      </c>
      <c r="P18" s="286">
        <f>SUMIFS(Hulptabel!$AC$3:$AC$152,Hulptabel!$D$3:$D$152,$A18,Hulptabel!$I$3:$I$152,P$3)</f>
        <v>0</v>
      </c>
      <c r="Q18" s="286">
        <f>SUMIFS(Hulptabel!$AC$3:$AC$152,Hulptabel!$D$3:$D$152,$A18,Hulptabel!$I$3:$I$152,Q$3)</f>
        <v>0</v>
      </c>
      <c r="R18" s="286">
        <f>SUMIFS(Hulptabel!$AC$3:$AC$152,Hulptabel!$D$3:$D$152,$A18,Hulptabel!$I$3:$I$152,R$3)</f>
        <v>0</v>
      </c>
      <c r="S18" s="286">
        <f>SUMIFS(Hulptabel!$AC$3:$AC$152,Hulptabel!$D$3:$D$152,$A18,Hulptabel!$I$3:$I$152,S$3)</f>
        <v>0</v>
      </c>
      <c r="T18" s="286">
        <f>SUMIFS(Hulptabel!$AC$3:$AC$152,Hulptabel!$D$3:$D$152,$A18,Hulptabel!$I$3:$I$152,T$3)</f>
        <v>13850</v>
      </c>
      <c r="U18" s="286">
        <f>SUMIFS(Hulptabel!$AC$3:$AC$152,Hulptabel!$D$3:$D$152,$A18,Hulptabel!$I$3:$I$152,U$3)</f>
        <v>0</v>
      </c>
      <c r="V18" s="286">
        <f>SUMIFS(Hulptabel!$AC$3:$AC$152,Hulptabel!$D$3:$D$152,$A18,Hulptabel!$I$3:$I$152,V$3)</f>
        <v>0</v>
      </c>
      <c r="W18" s="286">
        <f>SUMIFS(Hulptabel!$AC$3:$AC$152,Hulptabel!$D$3:$D$152,$A18,Hulptabel!$I$3:$I$152,W$3)</f>
        <v>0</v>
      </c>
      <c r="X18" s="286">
        <f>SUMIFS(Hulptabel!$AC$3:$AC$152,Hulptabel!$D$3:$D$152,$A18,Hulptabel!$I$3:$I$152,X$3)</f>
        <v>0</v>
      </c>
      <c r="Y18" s="286">
        <f>SUMIFS(Hulptabel!$AC$3:$AC$152,Hulptabel!$D$3:$D$152,$A18,Hulptabel!$I$3:$I$152,Y$3)</f>
        <v>0</v>
      </c>
      <c r="Z18" s="286">
        <f>SUMIFS(Hulptabel!$AC$3:$AC$152,Hulptabel!$D$3:$D$152,$A18,Hulptabel!$I$3:$I$152,Z$3)</f>
        <v>0</v>
      </c>
      <c r="AA18" s="286">
        <f>SUMIFS(Hulptabel!$AC$3:$AC$152,Hulptabel!$D$3:$D$152,$A18,Hulptabel!$I$3:$I$152,AA$3)</f>
        <v>0</v>
      </c>
      <c r="AB18" s="286">
        <f>SUMIFS(Hulptabel!$AC$3:$AC$152,Hulptabel!$D$3:$D$152,$A18,Hulptabel!$I$3:$I$152,AB$3)</f>
        <v>0</v>
      </c>
      <c r="AC18" s="286">
        <f>SUMIFS(Hulptabel!$AC$3:$AC$152,Hulptabel!$D$3:$D$152,$A18,Hulptabel!$I$3:$I$152,AC$3)</f>
        <v>0</v>
      </c>
      <c r="AD18" s="286">
        <f>SUMIFS(Hulptabel!$AC$3:$AC$152,Hulptabel!$D$3:$D$152,$A18,Hulptabel!$I$3:$I$152,AD$3)</f>
        <v>0</v>
      </c>
      <c r="AE18" s="286">
        <f>SUMIFS(Hulptabel!$AC$3:$AC$152,Hulptabel!$D$3:$D$152,$A18,Hulptabel!$I$3:$I$152,AE$3)</f>
        <v>0</v>
      </c>
      <c r="AF18" s="286">
        <f>SUMIFS(Hulptabel!$AC$3:$AC$152,Hulptabel!$D$3:$D$152,$A18,Hulptabel!$I$3:$I$152,AF$3)</f>
        <v>0</v>
      </c>
      <c r="AG18" s="286">
        <f>SUMIFS(Hulptabel!$AC$3:$AC$152,Hulptabel!$D$3:$D$152,$A18,Hulptabel!$I$3:$I$152,AG$3)</f>
        <v>0</v>
      </c>
      <c r="AH18" s="286">
        <f>SUMIFS(Hulptabel!$AC$3:$AC$152,Hulptabel!$D$3:$D$152,$A18,Hulptabel!$I$3:$I$152,AH$3)</f>
        <v>0</v>
      </c>
      <c r="AI18" s="286">
        <f>SUMIFS(Hulptabel!$AC$3:$AC$152,Hulptabel!$D$3:$D$152,$A18,Hulptabel!$I$3:$I$152,AI$3)</f>
        <v>0</v>
      </c>
      <c r="AJ18" s="286">
        <f>SUMIFS(Hulptabel!$AC$3:$AC$152,Hulptabel!$D$3:$D$152,$A18,Hulptabel!$I$3:$I$152,AJ$3)</f>
        <v>0</v>
      </c>
      <c r="AK18" s="286">
        <f>SUMIFS(Hulptabel!$AC$3:$AC$152,Hulptabel!$D$3:$D$152,$A18,Hulptabel!$I$3:$I$152,AK$3)</f>
        <v>0</v>
      </c>
      <c r="AL18" s="286">
        <f>SUMIFS(Hulptabel!$AC$3:$AC$152,Hulptabel!$D$3:$D$152,$A18,Hulptabel!$I$3:$I$152,AL$3)</f>
        <v>0</v>
      </c>
      <c r="AM18" s="286">
        <f>SUMIFS(Hulptabel!$AC$3:$AC$152,Hulptabel!$D$3:$D$152,$A18,Hulptabel!$I$3:$I$152,AM$3)</f>
        <v>0</v>
      </c>
      <c r="AN18" s="286">
        <f>SUMIFS(Hulptabel!$AC$3:$AC$152,Hulptabel!$D$3:$D$152,$A18,Hulptabel!$I$3:$I$152,AN$3)</f>
        <v>0</v>
      </c>
      <c r="AO18" s="286">
        <f>SUMIFS(Hulptabel!$AC$3:$AC$152,Hulptabel!$D$3:$D$152,$A18,Hulptabel!$I$3:$I$152,AO$3)</f>
        <v>0</v>
      </c>
      <c r="AP18" s="286">
        <f>SUMIFS(Hulptabel!$AC$3:$AC$152,Hulptabel!$D$3:$D$152,$A18,Hulptabel!$I$3:$I$152,AP$3)</f>
        <v>0</v>
      </c>
      <c r="AQ18" s="287">
        <f>SUMIFS(Hulptabel!$AC$3:$AC$152,Hulptabel!$D$3:$D$152,$A18,Hulptabel!$I$3:$I$152,AQ$3)</f>
        <v>0</v>
      </c>
    </row>
    <row r="19" spans="1:44" x14ac:dyDescent="0.25">
      <c r="A19" s="285" t="s">
        <v>280</v>
      </c>
      <c r="B19" s="281">
        <f>SUMIFS(Hulptabel!$AC$3:$AC$152,Hulptabel!$D$3:$D$152,A19)</f>
        <v>10155</v>
      </c>
      <c r="C19" s="281">
        <f t="shared" si="3"/>
        <v>0</v>
      </c>
      <c r="D19" s="286">
        <f>SUMIFS(Hulptabel!$AC$3:$AC$152,Hulptabel!$D$3:$D$152,$A19,Hulptabel!$I$3:$I$152,D$3)+SUMIFS(Hulptabel!$AC$3:$AC$152,Hulptabel!$D$3:$D$152,$A19,Hulptabel!$E$3:$E$152,2012)</f>
        <v>0</v>
      </c>
      <c r="E19" s="286">
        <f>SUMIFS(Hulptabel!$AC$3:$AC$152,Hulptabel!$D$3:$D$152,$A19,Hulptabel!$I$3:$I$152,E$3)</f>
        <v>0</v>
      </c>
      <c r="F19" s="286">
        <f>SUMIFS(Hulptabel!$AC$3:$AC$152,Hulptabel!$D$3:$D$152,$A19,Hulptabel!$I$3:$I$152,F$3)</f>
        <v>0</v>
      </c>
      <c r="G19" s="286">
        <f>SUMIFS(Hulptabel!$AC$3:$AC$152,Hulptabel!$D$3:$D$152,$A19,Hulptabel!$I$3:$I$152,G$3)</f>
        <v>0</v>
      </c>
      <c r="H19" s="286">
        <f>SUMIFS(Hulptabel!$AC$3:$AC$152,Hulptabel!$D$3:$D$152,$A19,Hulptabel!$I$3:$I$152,H$3)</f>
        <v>0</v>
      </c>
      <c r="I19" s="286">
        <f>SUMIFS(Hulptabel!$AC$3:$AC$152,Hulptabel!$D$3:$D$152,$A19,Hulptabel!$I$3:$I$152,I$3)</f>
        <v>0</v>
      </c>
      <c r="J19" s="286">
        <f>SUMIFS(Hulptabel!$AC$3:$AC$152,Hulptabel!$D$3:$D$152,$A19,Hulptabel!$I$3:$I$152,J$3)</f>
        <v>0</v>
      </c>
      <c r="K19" s="286">
        <f>SUMIFS(Hulptabel!$AC$3:$AC$152,Hulptabel!$D$3:$D$152,$A19,Hulptabel!$I$3:$I$152,K$3)</f>
        <v>10155</v>
      </c>
      <c r="L19" s="286">
        <f>SUMIFS(Hulptabel!$AC$3:$AC$152,Hulptabel!$D$3:$D$152,$A19,Hulptabel!$I$3:$I$152,L$3)</f>
        <v>0</v>
      </c>
      <c r="M19" s="286">
        <f>SUMIFS(Hulptabel!$AC$3:$AC$152,Hulptabel!$D$3:$D$152,$A19,Hulptabel!$I$3:$I$152,M$3)</f>
        <v>0</v>
      </c>
      <c r="N19" s="286">
        <f>SUMIFS(Hulptabel!$AC$3:$AC$152,Hulptabel!$D$3:$D$152,$A19,Hulptabel!$I$3:$I$152,N$3)</f>
        <v>0</v>
      </c>
      <c r="O19" s="286">
        <f>SUMIFS(Hulptabel!$AC$3:$AC$152,Hulptabel!$D$3:$D$152,$A19,Hulptabel!$I$3:$I$152,O$3)</f>
        <v>0</v>
      </c>
      <c r="P19" s="286">
        <f>SUMIFS(Hulptabel!$AC$3:$AC$152,Hulptabel!$D$3:$D$152,$A19,Hulptabel!$I$3:$I$152,P$3)</f>
        <v>0</v>
      </c>
      <c r="Q19" s="286">
        <f>SUMIFS(Hulptabel!$AC$3:$AC$152,Hulptabel!$D$3:$D$152,$A19,Hulptabel!$I$3:$I$152,Q$3)</f>
        <v>0</v>
      </c>
      <c r="R19" s="286">
        <f>SUMIFS(Hulptabel!$AC$3:$AC$152,Hulptabel!$D$3:$D$152,$A19,Hulptabel!$I$3:$I$152,R$3)</f>
        <v>0</v>
      </c>
      <c r="S19" s="286">
        <f>SUMIFS(Hulptabel!$AC$3:$AC$152,Hulptabel!$D$3:$D$152,$A19,Hulptabel!$I$3:$I$152,S$3)</f>
        <v>0</v>
      </c>
      <c r="T19" s="286">
        <f>SUMIFS(Hulptabel!$AC$3:$AC$152,Hulptabel!$D$3:$D$152,$A19,Hulptabel!$I$3:$I$152,T$3)</f>
        <v>0</v>
      </c>
      <c r="U19" s="286">
        <f>SUMIFS(Hulptabel!$AC$3:$AC$152,Hulptabel!$D$3:$D$152,$A19,Hulptabel!$I$3:$I$152,U$3)</f>
        <v>0</v>
      </c>
      <c r="V19" s="286">
        <f>SUMIFS(Hulptabel!$AC$3:$AC$152,Hulptabel!$D$3:$D$152,$A19,Hulptabel!$I$3:$I$152,V$3)</f>
        <v>0</v>
      </c>
      <c r="W19" s="286">
        <f>SUMIFS(Hulptabel!$AC$3:$AC$152,Hulptabel!$D$3:$D$152,$A19,Hulptabel!$I$3:$I$152,W$3)</f>
        <v>0</v>
      </c>
      <c r="X19" s="286">
        <f>SUMIFS(Hulptabel!$AC$3:$AC$152,Hulptabel!$D$3:$D$152,$A19,Hulptabel!$I$3:$I$152,X$3)</f>
        <v>0</v>
      </c>
      <c r="Y19" s="286">
        <f>SUMIFS(Hulptabel!$AC$3:$AC$152,Hulptabel!$D$3:$D$152,$A19,Hulptabel!$I$3:$I$152,Y$3)</f>
        <v>0</v>
      </c>
      <c r="Z19" s="286">
        <f>SUMIFS(Hulptabel!$AC$3:$AC$152,Hulptabel!$D$3:$D$152,$A19,Hulptabel!$I$3:$I$152,Z$3)</f>
        <v>0</v>
      </c>
      <c r="AA19" s="286">
        <f>SUMIFS(Hulptabel!$AC$3:$AC$152,Hulptabel!$D$3:$D$152,$A19,Hulptabel!$I$3:$I$152,AA$3)</f>
        <v>0</v>
      </c>
      <c r="AB19" s="286">
        <f>SUMIFS(Hulptabel!$AC$3:$AC$152,Hulptabel!$D$3:$D$152,$A19,Hulptabel!$I$3:$I$152,AB$3)</f>
        <v>0</v>
      </c>
      <c r="AC19" s="286">
        <f>SUMIFS(Hulptabel!$AC$3:$AC$152,Hulptabel!$D$3:$D$152,$A19,Hulptabel!$I$3:$I$152,AC$3)</f>
        <v>0</v>
      </c>
      <c r="AD19" s="286">
        <f>SUMIFS(Hulptabel!$AC$3:$AC$152,Hulptabel!$D$3:$D$152,$A19,Hulptabel!$I$3:$I$152,AD$3)</f>
        <v>0</v>
      </c>
      <c r="AE19" s="286">
        <f>SUMIFS(Hulptabel!$AC$3:$AC$152,Hulptabel!$D$3:$D$152,$A19,Hulptabel!$I$3:$I$152,AE$3)</f>
        <v>0</v>
      </c>
      <c r="AF19" s="286">
        <f>SUMIFS(Hulptabel!$AC$3:$AC$152,Hulptabel!$D$3:$D$152,$A19,Hulptabel!$I$3:$I$152,AF$3)</f>
        <v>0</v>
      </c>
      <c r="AG19" s="286">
        <f>SUMIFS(Hulptabel!$AC$3:$AC$152,Hulptabel!$D$3:$D$152,$A19,Hulptabel!$I$3:$I$152,AG$3)</f>
        <v>0</v>
      </c>
      <c r="AH19" s="286">
        <f>SUMIFS(Hulptabel!$AC$3:$AC$152,Hulptabel!$D$3:$D$152,$A19,Hulptabel!$I$3:$I$152,AH$3)</f>
        <v>0</v>
      </c>
      <c r="AI19" s="286">
        <f>SUMIFS(Hulptabel!$AC$3:$AC$152,Hulptabel!$D$3:$D$152,$A19,Hulptabel!$I$3:$I$152,AI$3)</f>
        <v>0</v>
      </c>
      <c r="AJ19" s="286">
        <f>SUMIFS(Hulptabel!$AC$3:$AC$152,Hulptabel!$D$3:$D$152,$A19,Hulptabel!$I$3:$I$152,AJ$3)</f>
        <v>0</v>
      </c>
      <c r="AK19" s="286">
        <f>SUMIFS(Hulptabel!$AC$3:$AC$152,Hulptabel!$D$3:$D$152,$A19,Hulptabel!$I$3:$I$152,AK$3)</f>
        <v>0</v>
      </c>
      <c r="AL19" s="286">
        <f>SUMIFS(Hulptabel!$AC$3:$AC$152,Hulptabel!$D$3:$D$152,$A19,Hulptabel!$I$3:$I$152,AL$3)</f>
        <v>0</v>
      </c>
      <c r="AM19" s="286">
        <f>SUMIFS(Hulptabel!$AC$3:$AC$152,Hulptabel!$D$3:$D$152,$A19,Hulptabel!$I$3:$I$152,AM$3)</f>
        <v>0</v>
      </c>
      <c r="AN19" s="286">
        <f>SUMIFS(Hulptabel!$AC$3:$AC$152,Hulptabel!$D$3:$D$152,$A19,Hulptabel!$I$3:$I$152,AN$3)</f>
        <v>0</v>
      </c>
      <c r="AO19" s="286">
        <f>SUMIFS(Hulptabel!$AC$3:$AC$152,Hulptabel!$D$3:$D$152,$A19,Hulptabel!$I$3:$I$152,AO$3)</f>
        <v>0</v>
      </c>
      <c r="AP19" s="286">
        <f>SUMIFS(Hulptabel!$AC$3:$AC$152,Hulptabel!$D$3:$D$152,$A19,Hulptabel!$I$3:$I$152,AP$3)</f>
        <v>0</v>
      </c>
      <c r="AQ19" s="287">
        <f>SUMIFS(Hulptabel!$AC$3:$AC$152,Hulptabel!$D$3:$D$152,$A19,Hulptabel!$I$3:$I$152,AQ$3)</f>
        <v>0</v>
      </c>
    </row>
    <row r="20" spans="1:44" x14ac:dyDescent="0.25">
      <c r="A20" s="285" t="s">
        <v>258</v>
      </c>
      <c r="B20" s="281">
        <f>SUMIFS(Hulptabel!$AC$3:$AC$152,Hulptabel!$D$3:$D$152,A20)</f>
        <v>71550</v>
      </c>
      <c r="C20" s="281">
        <f t="shared" si="3"/>
        <v>14310</v>
      </c>
      <c r="D20" s="286">
        <f>SUMIFS(Hulptabel!$AC$3:$AC$152,Hulptabel!$D$3:$D$152,$A20,Hulptabel!$I$3:$I$152,D$3)+SUMIFS(Hulptabel!$AC$3:$AC$152,Hulptabel!$D$3:$D$152,$A20,Hulptabel!$E$3:$E$152,2012)</f>
        <v>0</v>
      </c>
      <c r="E20" s="286">
        <f>SUMIFS(Hulptabel!$AC$3:$AC$152,Hulptabel!$D$3:$D$152,$A20,Hulptabel!$I$3:$I$152,E$3)</f>
        <v>0</v>
      </c>
      <c r="F20" s="286">
        <f>SUMIFS(Hulptabel!$AC$3:$AC$152,Hulptabel!$D$3:$D$152,$A20,Hulptabel!$I$3:$I$152,F$3)</f>
        <v>0</v>
      </c>
      <c r="G20" s="286">
        <f>SUMIFS(Hulptabel!$AC$3:$AC$152,Hulptabel!$D$3:$D$152,$A20,Hulptabel!$I$3:$I$152,G$3)</f>
        <v>0</v>
      </c>
      <c r="H20" s="286">
        <f>SUMIFS(Hulptabel!$AC$3:$AC$152,Hulptabel!$D$3:$D$152,$A20,Hulptabel!$I$3:$I$152,H$3)</f>
        <v>0</v>
      </c>
      <c r="I20" s="286">
        <f>SUMIFS(Hulptabel!$AC$3:$AC$152,Hulptabel!$D$3:$D$152,$A20,Hulptabel!$I$3:$I$152,I$3)</f>
        <v>0</v>
      </c>
      <c r="J20" s="286">
        <f>SUMIFS(Hulptabel!$AC$3:$AC$152,Hulptabel!$D$3:$D$152,$A20,Hulptabel!$I$3:$I$152,J$3)</f>
        <v>0</v>
      </c>
      <c r="K20" s="286">
        <f>SUMIFS(Hulptabel!$AC$3:$AC$152,Hulptabel!$D$3:$D$152,$A20,Hulptabel!$I$3:$I$152,K$3)</f>
        <v>0</v>
      </c>
      <c r="L20" s="286">
        <f>SUMIFS(Hulptabel!$AC$3:$AC$152,Hulptabel!$D$3:$D$152,$A20,Hulptabel!$I$3:$I$152,L$3)</f>
        <v>0</v>
      </c>
      <c r="M20" s="286">
        <f>SUMIFS(Hulptabel!$AC$3:$AC$152,Hulptabel!$D$3:$D$152,$A20,Hulptabel!$I$3:$I$152,M$3)</f>
        <v>0</v>
      </c>
      <c r="N20" s="286">
        <f>SUMIFS(Hulptabel!$AC$3:$AC$152,Hulptabel!$D$3:$D$152,$A20,Hulptabel!$I$3:$I$152,N$3)</f>
        <v>0</v>
      </c>
      <c r="O20" s="286">
        <f>SUMIFS(Hulptabel!$AC$3:$AC$152,Hulptabel!$D$3:$D$152,$A20,Hulptabel!$I$3:$I$152,O$3)</f>
        <v>0</v>
      </c>
      <c r="P20" s="286">
        <f>SUMIFS(Hulptabel!$AC$3:$AC$152,Hulptabel!$D$3:$D$152,$A20,Hulptabel!$I$3:$I$152,P$3)</f>
        <v>0</v>
      </c>
      <c r="Q20" s="286">
        <f>SUMIFS(Hulptabel!$AC$3:$AC$152,Hulptabel!$D$3:$D$152,$A20,Hulptabel!$I$3:$I$152,Q$3)</f>
        <v>0</v>
      </c>
      <c r="R20" s="286">
        <f>SUMIFS(Hulptabel!$AC$3:$AC$152,Hulptabel!$D$3:$D$152,$A20,Hulptabel!$I$3:$I$152,R$3)</f>
        <v>14310</v>
      </c>
      <c r="S20" s="286">
        <f>SUMIFS(Hulptabel!$AC$3:$AC$152,Hulptabel!$D$3:$D$152,$A20,Hulptabel!$I$3:$I$152,S$3)</f>
        <v>0</v>
      </c>
      <c r="T20" s="286">
        <f>SUMIFS(Hulptabel!$AC$3:$AC$152,Hulptabel!$D$3:$D$152,$A20,Hulptabel!$I$3:$I$152,T$3)</f>
        <v>0</v>
      </c>
      <c r="U20" s="286">
        <f>SUMIFS(Hulptabel!$AC$3:$AC$152,Hulptabel!$D$3:$D$152,$A20,Hulptabel!$I$3:$I$152,U$3)</f>
        <v>0</v>
      </c>
      <c r="V20" s="286">
        <f>SUMIFS(Hulptabel!$AC$3:$AC$152,Hulptabel!$D$3:$D$152,$A20,Hulptabel!$I$3:$I$152,V$3)</f>
        <v>0</v>
      </c>
      <c r="W20" s="286">
        <f>SUMIFS(Hulptabel!$AC$3:$AC$152,Hulptabel!$D$3:$D$152,$A20,Hulptabel!$I$3:$I$152,W$3)</f>
        <v>14310</v>
      </c>
      <c r="X20" s="286">
        <f>SUMIFS(Hulptabel!$AC$3:$AC$152,Hulptabel!$D$3:$D$152,$A20,Hulptabel!$I$3:$I$152,X$3)</f>
        <v>0</v>
      </c>
      <c r="Y20" s="286">
        <f>SUMIFS(Hulptabel!$AC$3:$AC$152,Hulptabel!$D$3:$D$152,$A20,Hulptabel!$I$3:$I$152,Y$3)</f>
        <v>0</v>
      </c>
      <c r="Z20" s="286">
        <f>SUMIFS(Hulptabel!$AC$3:$AC$152,Hulptabel!$D$3:$D$152,$A20,Hulptabel!$I$3:$I$152,Z$3)</f>
        <v>14310</v>
      </c>
      <c r="AA20" s="286">
        <f>SUMIFS(Hulptabel!$AC$3:$AC$152,Hulptabel!$D$3:$D$152,$A20,Hulptabel!$I$3:$I$152,AA$3)</f>
        <v>0</v>
      </c>
      <c r="AB20" s="286">
        <f>SUMIFS(Hulptabel!$AC$3:$AC$152,Hulptabel!$D$3:$D$152,$A20,Hulptabel!$I$3:$I$152,AB$3)</f>
        <v>0</v>
      </c>
      <c r="AC20" s="286">
        <f>SUMIFS(Hulptabel!$AC$3:$AC$152,Hulptabel!$D$3:$D$152,$A20,Hulptabel!$I$3:$I$152,AC$3)</f>
        <v>0</v>
      </c>
      <c r="AD20" s="286">
        <f>SUMIFS(Hulptabel!$AC$3:$AC$152,Hulptabel!$D$3:$D$152,$A20,Hulptabel!$I$3:$I$152,AD$3)</f>
        <v>14310</v>
      </c>
      <c r="AE20" s="286">
        <f>SUMIFS(Hulptabel!$AC$3:$AC$152,Hulptabel!$D$3:$D$152,$A20,Hulptabel!$I$3:$I$152,AE$3)</f>
        <v>0</v>
      </c>
      <c r="AF20" s="286">
        <f>SUMIFS(Hulptabel!$AC$3:$AC$152,Hulptabel!$D$3:$D$152,$A20,Hulptabel!$I$3:$I$152,AF$3)</f>
        <v>0</v>
      </c>
      <c r="AG20" s="286">
        <f>SUMIFS(Hulptabel!$AC$3:$AC$152,Hulptabel!$D$3:$D$152,$A20,Hulptabel!$I$3:$I$152,AG$3)</f>
        <v>0</v>
      </c>
      <c r="AH20" s="286">
        <f>SUMIFS(Hulptabel!$AC$3:$AC$152,Hulptabel!$D$3:$D$152,$A20,Hulptabel!$I$3:$I$152,AH$3)</f>
        <v>0</v>
      </c>
      <c r="AI20" s="286">
        <f>SUMIFS(Hulptabel!$AC$3:$AC$152,Hulptabel!$D$3:$D$152,$A20,Hulptabel!$I$3:$I$152,AI$3)</f>
        <v>0</v>
      </c>
      <c r="AJ20" s="286">
        <f>SUMIFS(Hulptabel!$AC$3:$AC$152,Hulptabel!$D$3:$D$152,$A20,Hulptabel!$I$3:$I$152,AJ$3)</f>
        <v>0</v>
      </c>
      <c r="AK20" s="286">
        <f>SUMIFS(Hulptabel!$AC$3:$AC$152,Hulptabel!$D$3:$D$152,$A20,Hulptabel!$I$3:$I$152,AK$3)</f>
        <v>0</v>
      </c>
      <c r="AL20" s="286">
        <f>SUMIFS(Hulptabel!$AC$3:$AC$152,Hulptabel!$D$3:$D$152,$A20,Hulptabel!$I$3:$I$152,AL$3)</f>
        <v>0</v>
      </c>
      <c r="AM20" s="286">
        <f>SUMIFS(Hulptabel!$AC$3:$AC$152,Hulptabel!$D$3:$D$152,$A20,Hulptabel!$I$3:$I$152,AM$3)</f>
        <v>0</v>
      </c>
      <c r="AN20" s="286">
        <f>SUMIFS(Hulptabel!$AC$3:$AC$152,Hulptabel!$D$3:$D$152,$A20,Hulptabel!$I$3:$I$152,AN$3)</f>
        <v>0</v>
      </c>
      <c r="AO20" s="286">
        <f>SUMIFS(Hulptabel!$AC$3:$AC$152,Hulptabel!$D$3:$D$152,$A20,Hulptabel!$I$3:$I$152,AO$3)</f>
        <v>0</v>
      </c>
      <c r="AP20" s="286">
        <f>SUMIFS(Hulptabel!$AC$3:$AC$152,Hulptabel!$D$3:$D$152,$A20,Hulptabel!$I$3:$I$152,AP$3)</f>
        <v>0</v>
      </c>
      <c r="AQ20" s="287">
        <f>SUMIFS(Hulptabel!$AC$3:$AC$152,Hulptabel!$D$3:$D$152,$A20,Hulptabel!$I$3:$I$152,AQ$3)</f>
        <v>0</v>
      </c>
    </row>
    <row r="21" spans="1:44" x14ac:dyDescent="0.25">
      <c r="A21" s="285" t="s">
        <v>342</v>
      </c>
      <c r="B21" s="281">
        <f>SUMIFS(Hulptabel!$AC$3:$AC$152,Hulptabel!$D$3:$D$152,A21)</f>
        <v>0</v>
      </c>
      <c r="C21" s="281">
        <f t="shared" si="3"/>
        <v>0</v>
      </c>
      <c r="D21" s="286">
        <f>SUMIFS(Hulptabel!$AC$3:$AC$152,Hulptabel!$D$3:$D$152,$A21,Hulptabel!$I$3:$I$152,D$3)+SUMIFS(Hulptabel!$AC$3:$AC$152,Hulptabel!$D$3:$D$152,$A21,Hulptabel!$E$3:$E$152,2012)</f>
        <v>0</v>
      </c>
      <c r="E21" s="286">
        <f>SUMIFS(Hulptabel!$AC$3:$AC$152,Hulptabel!$D$3:$D$152,$A21,Hulptabel!$I$3:$I$152,E$3)</f>
        <v>0</v>
      </c>
      <c r="F21" s="286">
        <f>SUMIFS(Hulptabel!$AC$3:$AC$152,Hulptabel!$D$3:$D$152,$A21,Hulptabel!$I$3:$I$152,F$3)</f>
        <v>0</v>
      </c>
      <c r="G21" s="286">
        <f>SUMIFS(Hulptabel!$AC$3:$AC$152,Hulptabel!$D$3:$D$152,$A21,Hulptabel!$I$3:$I$152,G$3)</f>
        <v>0</v>
      </c>
      <c r="H21" s="286">
        <f>SUMIFS(Hulptabel!$AC$3:$AC$152,Hulptabel!$D$3:$D$152,$A21,Hulptabel!$I$3:$I$152,H$3)</f>
        <v>0</v>
      </c>
      <c r="I21" s="286">
        <f>SUMIFS(Hulptabel!$AC$3:$AC$152,Hulptabel!$D$3:$D$152,$A21,Hulptabel!$I$3:$I$152,I$3)</f>
        <v>0</v>
      </c>
      <c r="J21" s="286">
        <f>SUMIFS(Hulptabel!$AC$3:$AC$152,Hulptabel!$D$3:$D$152,$A21,Hulptabel!$I$3:$I$152,J$3)</f>
        <v>0</v>
      </c>
      <c r="K21" s="286">
        <f>SUMIFS(Hulptabel!$AC$3:$AC$152,Hulptabel!$D$3:$D$152,$A21,Hulptabel!$I$3:$I$152,K$3)</f>
        <v>0</v>
      </c>
      <c r="L21" s="286">
        <f>SUMIFS(Hulptabel!$AC$3:$AC$152,Hulptabel!$D$3:$D$152,$A21,Hulptabel!$I$3:$I$152,L$3)</f>
        <v>0</v>
      </c>
      <c r="M21" s="286">
        <f>SUMIFS(Hulptabel!$AC$3:$AC$152,Hulptabel!$D$3:$D$152,$A21,Hulptabel!$I$3:$I$152,M$3)</f>
        <v>0</v>
      </c>
      <c r="N21" s="286">
        <f>SUMIFS(Hulptabel!$AC$3:$AC$152,Hulptabel!$D$3:$D$152,$A21,Hulptabel!$I$3:$I$152,N$3)</f>
        <v>0</v>
      </c>
      <c r="O21" s="286">
        <f>SUMIFS(Hulptabel!$AC$3:$AC$152,Hulptabel!$D$3:$D$152,$A21,Hulptabel!$I$3:$I$152,O$3)</f>
        <v>0</v>
      </c>
      <c r="P21" s="286">
        <f>SUMIFS(Hulptabel!$AC$3:$AC$152,Hulptabel!$D$3:$D$152,$A21,Hulptabel!$I$3:$I$152,P$3)</f>
        <v>0</v>
      </c>
      <c r="Q21" s="286">
        <f>SUMIFS(Hulptabel!$AC$3:$AC$152,Hulptabel!$D$3:$D$152,$A21,Hulptabel!$I$3:$I$152,Q$3)</f>
        <v>0</v>
      </c>
      <c r="R21" s="286">
        <f>SUMIFS(Hulptabel!$AC$3:$AC$152,Hulptabel!$D$3:$D$152,$A21,Hulptabel!$I$3:$I$152,R$3)</f>
        <v>0</v>
      </c>
      <c r="S21" s="286">
        <f>SUMIFS(Hulptabel!$AC$3:$AC$152,Hulptabel!$D$3:$D$152,$A21,Hulptabel!$I$3:$I$152,S$3)</f>
        <v>0</v>
      </c>
      <c r="T21" s="286">
        <f>SUMIFS(Hulptabel!$AC$3:$AC$152,Hulptabel!$D$3:$D$152,$A21,Hulptabel!$I$3:$I$152,T$3)</f>
        <v>0</v>
      </c>
      <c r="U21" s="286">
        <f>SUMIFS(Hulptabel!$AC$3:$AC$152,Hulptabel!$D$3:$D$152,$A21,Hulptabel!$I$3:$I$152,U$3)</f>
        <v>0</v>
      </c>
      <c r="V21" s="286">
        <f>SUMIFS(Hulptabel!$AC$3:$AC$152,Hulptabel!$D$3:$D$152,$A21,Hulptabel!$I$3:$I$152,V$3)</f>
        <v>0</v>
      </c>
      <c r="W21" s="286">
        <f>SUMIFS(Hulptabel!$AC$3:$AC$152,Hulptabel!$D$3:$D$152,$A21,Hulptabel!$I$3:$I$152,W$3)</f>
        <v>0</v>
      </c>
      <c r="X21" s="286">
        <f>SUMIFS(Hulptabel!$AC$3:$AC$152,Hulptabel!$D$3:$D$152,$A21,Hulptabel!$I$3:$I$152,X$3)</f>
        <v>0</v>
      </c>
      <c r="Y21" s="286">
        <f>SUMIFS(Hulptabel!$AC$3:$AC$152,Hulptabel!$D$3:$D$152,$A21,Hulptabel!$I$3:$I$152,Y$3)</f>
        <v>0</v>
      </c>
      <c r="Z21" s="286">
        <f>SUMIFS(Hulptabel!$AC$3:$AC$152,Hulptabel!$D$3:$D$152,$A21,Hulptabel!$I$3:$I$152,Z$3)</f>
        <v>0</v>
      </c>
      <c r="AA21" s="286">
        <f>SUMIFS(Hulptabel!$AC$3:$AC$152,Hulptabel!$D$3:$D$152,$A21,Hulptabel!$I$3:$I$152,AA$3)</f>
        <v>0</v>
      </c>
      <c r="AB21" s="286">
        <f>SUMIFS(Hulptabel!$AC$3:$AC$152,Hulptabel!$D$3:$D$152,$A21,Hulptabel!$I$3:$I$152,AB$3)</f>
        <v>0</v>
      </c>
      <c r="AC21" s="286">
        <f>SUMIFS(Hulptabel!$AC$3:$AC$152,Hulptabel!$D$3:$D$152,$A21,Hulptabel!$I$3:$I$152,AC$3)</f>
        <v>0</v>
      </c>
      <c r="AD21" s="286">
        <f>SUMIFS(Hulptabel!$AC$3:$AC$152,Hulptabel!$D$3:$D$152,$A21,Hulptabel!$I$3:$I$152,AD$3)</f>
        <v>0</v>
      </c>
      <c r="AE21" s="286">
        <f>SUMIFS(Hulptabel!$AC$3:$AC$152,Hulptabel!$D$3:$D$152,$A21,Hulptabel!$I$3:$I$152,AE$3)</f>
        <v>0</v>
      </c>
      <c r="AF21" s="286">
        <f>SUMIFS(Hulptabel!$AC$3:$AC$152,Hulptabel!$D$3:$D$152,$A21,Hulptabel!$I$3:$I$152,AF$3)</f>
        <v>0</v>
      </c>
      <c r="AG21" s="286">
        <f>SUMIFS(Hulptabel!$AC$3:$AC$152,Hulptabel!$D$3:$D$152,$A21,Hulptabel!$I$3:$I$152,AG$3)</f>
        <v>0</v>
      </c>
      <c r="AH21" s="286">
        <f>SUMIFS(Hulptabel!$AC$3:$AC$152,Hulptabel!$D$3:$D$152,$A21,Hulptabel!$I$3:$I$152,AH$3)</f>
        <v>0</v>
      </c>
      <c r="AI21" s="286">
        <f>SUMIFS(Hulptabel!$AC$3:$AC$152,Hulptabel!$D$3:$D$152,$A21,Hulptabel!$I$3:$I$152,AI$3)</f>
        <v>0</v>
      </c>
      <c r="AJ21" s="286">
        <f>SUMIFS(Hulptabel!$AC$3:$AC$152,Hulptabel!$D$3:$D$152,$A21,Hulptabel!$I$3:$I$152,AJ$3)</f>
        <v>0</v>
      </c>
      <c r="AK21" s="286">
        <f>SUMIFS(Hulptabel!$AC$3:$AC$152,Hulptabel!$D$3:$D$152,$A21,Hulptabel!$I$3:$I$152,AK$3)</f>
        <v>0</v>
      </c>
      <c r="AL21" s="286">
        <f>SUMIFS(Hulptabel!$AC$3:$AC$152,Hulptabel!$D$3:$D$152,$A21,Hulptabel!$I$3:$I$152,AL$3)</f>
        <v>0</v>
      </c>
      <c r="AM21" s="286">
        <f>SUMIFS(Hulptabel!$AC$3:$AC$152,Hulptabel!$D$3:$D$152,$A21,Hulptabel!$I$3:$I$152,AM$3)</f>
        <v>0</v>
      </c>
      <c r="AN21" s="286">
        <f>SUMIFS(Hulptabel!$AC$3:$AC$152,Hulptabel!$D$3:$D$152,$A21,Hulptabel!$I$3:$I$152,AN$3)</f>
        <v>0</v>
      </c>
      <c r="AO21" s="286">
        <f>SUMIFS(Hulptabel!$AC$3:$AC$152,Hulptabel!$D$3:$D$152,$A21,Hulptabel!$I$3:$I$152,AO$3)</f>
        <v>0</v>
      </c>
      <c r="AP21" s="286">
        <f>SUMIFS(Hulptabel!$AC$3:$AC$152,Hulptabel!$D$3:$D$152,$A21,Hulptabel!$I$3:$I$152,AP$3)</f>
        <v>0</v>
      </c>
      <c r="AQ21" s="287">
        <f>SUMIFS(Hulptabel!$AC$3:$AC$152,Hulptabel!$D$3:$D$152,$A21,Hulptabel!$I$3:$I$152,AQ$3)</f>
        <v>0</v>
      </c>
    </row>
    <row r="22" spans="1:44" x14ac:dyDescent="0.25">
      <c r="A22" s="288" t="s">
        <v>341</v>
      </c>
      <c r="B22" s="289">
        <f>SUMIFS(Hulptabel!$AC$3:$AC$152,Hulptabel!$D$3:$D$152,A22)</f>
        <v>0</v>
      </c>
      <c r="C22" s="289">
        <f t="shared" si="3"/>
        <v>0</v>
      </c>
      <c r="D22" s="290">
        <f>SUMIFS(Hulptabel!$AC$3:$AC$152,Hulptabel!$D$3:$D$152,$A22,Hulptabel!$I$3:$I$152,D$3)+SUMIFS(Hulptabel!$AC$3:$AC$152,Hulptabel!$D$3:$D$152,$A22,Hulptabel!$E$3:$E$152,2012)</f>
        <v>0</v>
      </c>
      <c r="E22" s="290">
        <f>SUMIFS(Hulptabel!$AC$3:$AC$152,Hulptabel!$D$3:$D$152,$A22,Hulptabel!$I$3:$I$152,E$3)</f>
        <v>0</v>
      </c>
      <c r="F22" s="290">
        <f>SUMIFS(Hulptabel!$AC$3:$AC$152,Hulptabel!$D$3:$D$152,$A22,Hulptabel!$I$3:$I$152,F$3)</f>
        <v>0</v>
      </c>
      <c r="G22" s="290">
        <f>SUMIFS(Hulptabel!$AC$3:$AC$152,Hulptabel!$D$3:$D$152,$A22,Hulptabel!$I$3:$I$152,G$3)</f>
        <v>0</v>
      </c>
      <c r="H22" s="290">
        <f>SUMIFS(Hulptabel!$AC$3:$AC$152,Hulptabel!$D$3:$D$152,$A22,Hulptabel!$I$3:$I$152,H$3)</f>
        <v>0</v>
      </c>
      <c r="I22" s="290">
        <f>SUMIFS(Hulptabel!$AC$3:$AC$152,Hulptabel!$D$3:$D$152,$A22,Hulptabel!$I$3:$I$152,I$3)</f>
        <v>0</v>
      </c>
      <c r="J22" s="290">
        <f>SUMIFS(Hulptabel!$AC$3:$AC$152,Hulptabel!$D$3:$D$152,$A22,Hulptabel!$I$3:$I$152,J$3)</f>
        <v>0</v>
      </c>
      <c r="K22" s="290">
        <f>SUMIFS(Hulptabel!$AC$3:$AC$152,Hulptabel!$D$3:$D$152,$A22,Hulptabel!$I$3:$I$152,K$3)</f>
        <v>0</v>
      </c>
      <c r="L22" s="290">
        <f>SUMIFS(Hulptabel!$AC$3:$AC$152,Hulptabel!$D$3:$D$152,$A22,Hulptabel!$I$3:$I$152,L$3)</f>
        <v>0</v>
      </c>
      <c r="M22" s="290">
        <f>SUMIFS(Hulptabel!$AC$3:$AC$152,Hulptabel!$D$3:$D$152,$A22,Hulptabel!$I$3:$I$152,M$3)</f>
        <v>0</v>
      </c>
      <c r="N22" s="290">
        <f>SUMIFS(Hulptabel!$AC$3:$AC$152,Hulptabel!$D$3:$D$152,$A22,Hulptabel!$I$3:$I$152,N$3)</f>
        <v>0</v>
      </c>
      <c r="O22" s="290">
        <f>SUMIFS(Hulptabel!$AC$3:$AC$152,Hulptabel!$D$3:$D$152,$A22,Hulptabel!$I$3:$I$152,O$3)</f>
        <v>0</v>
      </c>
      <c r="P22" s="290">
        <f>SUMIFS(Hulptabel!$AC$3:$AC$152,Hulptabel!$D$3:$D$152,$A22,Hulptabel!$I$3:$I$152,P$3)</f>
        <v>0</v>
      </c>
      <c r="Q22" s="290">
        <f>SUMIFS(Hulptabel!$AC$3:$AC$152,Hulptabel!$D$3:$D$152,$A22,Hulptabel!$I$3:$I$152,Q$3)</f>
        <v>0</v>
      </c>
      <c r="R22" s="290">
        <f>SUMIFS(Hulptabel!$AC$3:$AC$152,Hulptabel!$D$3:$D$152,$A22,Hulptabel!$I$3:$I$152,R$3)</f>
        <v>0</v>
      </c>
      <c r="S22" s="290">
        <f>SUMIFS(Hulptabel!$AC$3:$AC$152,Hulptabel!$D$3:$D$152,$A22,Hulptabel!$I$3:$I$152,S$3)</f>
        <v>0</v>
      </c>
      <c r="T22" s="290">
        <f>SUMIFS(Hulptabel!$AC$3:$AC$152,Hulptabel!$D$3:$D$152,$A22,Hulptabel!$I$3:$I$152,T$3)</f>
        <v>0</v>
      </c>
      <c r="U22" s="290">
        <f>SUMIFS(Hulptabel!$AC$3:$AC$152,Hulptabel!$D$3:$D$152,$A22,Hulptabel!$I$3:$I$152,U$3)</f>
        <v>0</v>
      </c>
      <c r="V22" s="290">
        <f>SUMIFS(Hulptabel!$AC$3:$AC$152,Hulptabel!$D$3:$D$152,$A22,Hulptabel!$I$3:$I$152,V$3)</f>
        <v>0</v>
      </c>
      <c r="W22" s="290">
        <f>SUMIFS(Hulptabel!$AC$3:$AC$152,Hulptabel!$D$3:$D$152,$A22,Hulptabel!$I$3:$I$152,W$3)</f>
        <v>0</v>
      </c>
      <c r="X22" s="290">
        <f>SUMIFS(Hulptabel!$AC$3:$AC$152,Hulptabel!$D$3:$D$152,$A22,Hulptabel!$I$3:$I$152,X$3)</f>
        <v>0</v>
      </c>
      <c r="Y22" s="290">
        <f>SUMIFS(Hulptabel!$AC$3:$AC$152,Hulptabel!$D$3:$D$152,$A22,Hulptabel!$I$3:$I$152,Y$3)</f>
        <v>0</v>
      </c>
      <c r="Z22" s="290">
        <f>SUMIFS(Hulptabel!$AC$3:$AC$152,Hulptabel!$D$3:$D$152,$A22,Hulptabel!$I$3:$I$152,Z$3)</f>
        <v>0</v>
      </c>
      <c r="AA22" s="290">
        <f>SUMIFS(Hulptabel!$AC$3:$AC$152,Hulptabel!$D$3:$D$152,$A22,Hulptabel!$I$3:$I$152,AA$3)</f>
        <v>0</v>
      </c>
      <c r="AB22" s="290">
        <f>SUMIFS(Hulptabel!$AC$3:$AC$152,Hulptabel!$D$3:$D$152,$A22,Hulptabel!$I$3:$I$152,AB$3)</f>
        <v>0</v>
      </c>
      <c r="AC22" s="290">
        <f>SUMIFS(Hulptabel!$AC$3:$AC$152,Hulptabel!$D$3:$D$152,$A22,Hulptabel!$I$3:$I$152,AC$3)</f>
        <v>0</v>
      </c>
      <c r="AD22" s="290">
        <f>SUMIFS(Hulptabel!$AC$3:$AC$152,Hulptabel!$D$3:$D$152,$A22,Hulptabel!$I$3:$I$152,AD$3)</f>
        <v>0</v>
      </c>
      <c r="AE22" s="290">
        <f>SUMIFS(Hulptabel!$AC$3:$AC$152,Hulptabel!$D$3:$D$152,$A22,Hulptabel!$I$3:$I$152,AE$3)</f>
        <v>0</v>
      </c>
      <c r="AF22" s="290">
        <f>SUMIFS(Hulptabel!$AC$3:$AC$152,Hulptabel!$D$3:$D$152,$A22,Hulptabel!$I$3:$I$152,AF$3)</f>
        <v>0</v>
      </c>
      <c r="AG22" s="290">
        <f>SUMIFS(Hulptabel!$AC$3:$AC$152,Hulptabel!$D$3:$D$152,$A22,Hulptabel!$I$3:$I$152,AG$3)</f>
        <v>0</v>
      </c>
      <c r="AH22" s="290">
        <f>SUMIFS(Hulptabel!$AC$3:$AC$152,Hulptabel!$D$3:$D$152,$A22,Hulptabel!$I$3:$I$152,AH$3)</f>
        <v>0</v>
      </c>
      <c r="AI22" s="290">
        <f>SUMIFS(Hulptabel!$AC$3:$AC$152,Hulptabel!$D$3:$D$152,$A22,Hulptabel!$I$3:$I$152,AI$3)</f>
        <v>0</v>
      </c>
      <c r="AJ22" s="290">
        <f>SUMIFS(Hulptabel!$AC$3:$AC$152,Hulptabel!$D$3:$D$152,$A22,Hulptabel!$I$3:$I$152,AJ$3)</f>
        <v>0</v>
      </c>
      <c r="AK22" s="290">
        <f>SUMIFS(Hulptabel!$AC$3:$AC$152,Hulptabel!$D$3:$D$152,$A22,Hulptabel!$I$3:$I$152,AK$3)</f>
        <v>0</v>
      </c>
      <c r="AL22" s="290">
        <f>SUMIFS(Hulptabel!$AC$3:$AC$152,Hulptabel!$D$3:$D$152,$A22,Hulptabel!$I$3:$I$152,AL$3)</f>
        <v>0</v>
      </c>
      <c r="AM22" s="290">
        <f>SUMIFS(Hulptabel!$AC$3:$AC$152,Hulptabel!$D$3:$D$152,$A22,Hulptabel!$I$3:$I$152,AM$3)</f>
        <v>0</v>
      </c>
      <c r="AN22" s="290">
        <f>SUMIFS(Hulptabel!$AC$3:$AC$152,Hulptabel!$D$3:$D$152,$A22,Hulptabel!$I$3:$I$152,AN$3)</f>
        <v>0</v>
      </c>
      <c r="AO22" s="290">
        <f>SUMIFS(Hulptabel!$AC$3:$AC$152,Hulptabel!$D$3:$D$152,$A22,Hulptabel!$I$3:$I$152,AO$3)</f>
        <v>0</v>
      </c>
      <c r="AP22" s="290">
        <f>SUMIFS(Hulptabel!$AC$3:$AC$152,Hulptabel!$D$3:$D$152,$A22,Hulptabel!$I$3:$I$152,AP$3)</f>
        <v>0</v>
      </c>
      <c r="AQ22" s="291">
        <f>SUMIFS(Hulptabel!$AC$3:$AC$152,Hulptabel!$D$3:$D$152,$A22,Hulptabel!$I$3:$I$152,AQ$3)</f>
        <v>0</v>
      </c>
    </row>
    <row r="23" spans="1:44" x14ac:dyDescent="0.25">
      <c r="A23" s="339" t="s">
        <v>366</v>
      </c>
      <c r="B23" s="292">
        <f>SUM(B4:B22)</f>
        <v>789285</v>
      </c>
      <c r="C23" s="292">
        <f>SUM(C1:C22)</f>
        <v>25445</v>
      </c>
      <c r="D23" s="293">
        <f t="shared" ref="D23:AQ23" si="4">SUM(D4:D22)</f>
        <v>22480</v>
      </c>
      <c r="E23" s="293">
        <f t="shared" si="4"/>
        <v>0</v>
      </c>
      <c r="F23" s="293">
        <f t="shared" si="4"/>
        <v>8945</v>
      </c>
      <c r="G23" s="293">
        <f t="shared" si="4"/>
        <v>22795</v>
      </c>
      <c r="H23" s="293">
        <f t="shared" si="4"/>
        <v>0</v>
      </c>
      <c r="I23" s="293">
        <f t="shared" si="4"/>
        <v>0</v>
      </c>
      <c r="J23" s="293">
        <f t="shared" si="4"/>
        <v>14090</v>
      </c>
      <c r="K23" s="293">
        <f t="shared" si="4"/>
        <v>10155</v>
      </c>
      <c r="L23" s="293">
        <f t="shared" si="4"/>
        <v>0</v>
      </c>
      <c r="M23" s="293">
        <f t="shared" si="4"/>
        <v>8945</v>
      </c>
      <c r="N23" s="293">
        <f t="shared" si="4"/>
        <v>0</v>
      </c>
      <c r="O23" s="293">
        <f t="shared" si="4"/>
        <v>15965</v>
      </c>
      <c r="P23" s="293">
        <f t="shared" si="4"/>
        <v>35120</v>
      </c>
      <c r="Q23" s="293">
        <f t="shared" si="4"/>
        <v>31420</v>
      </c>
      <c r="R23" s="293">
        <f t="shared" si="4"/>
        <v>40540</v>
      </c>
      <c r="S23" s="293">
        <f t="shared" si="4"/>
        <v>12155</v>
      </c>
      <c r="T23" s="293">
        <f t="shared" si="4"/>
        <v>73765</v>
      </c>
      <c r="U23" s="293">
        <f t="shared" si="4"/>
        <v>20560</v>
      </c>
      <c r="V23" s="293">
        <f t="shared" si="4"/>
        <v>22480</v>
      </c>
      <c r="W23" s="293">
        <f t="shared" si="4"/>
        <v>32195</v>
      </c>
      <c r="X23" s="293">
        <f t="shared" si="4"/>
        <v>53565</v>
      </c>
      <c r="Y23" s="293">
        <f t="shared" si="4"/>
        <v>0</v>
      </c>
      <c r="Z23" s="293">
        <f t="shared" si="4"/>
        <v>64570</v>
      </c>
      <c r="AA23" s="293">
        <f t="shared" si="4"/>
        <v>25880</v>
      </c>
      <c r="AB23" s="293">
        <f t="shared" si="4"/>
        <v>0</v>
      </c>
      <c r="AC23" s="293">
        <f t="shared" si="4"/>
        <v>36570</v>
      </c>
      <c r="AD23" s="293">
        <f t="shared" si="4"/>
        <v>14310</v>
      </c>
      <c r="AE23" s="293">
        <f t="shared" si="4"/>
        <v>48130</v>
      </c>
      <c r="AF23" s="293">
        <f t="shared" si="4"/>
        <v>19760</v>
      </c>
      <c r="AG23" s="293">
        <f t="shared" si="4"/>
        <v>95225</v>
      </c>
      <c r="AH23" s="293">
        <f t="shared" si="4"/>
        <v>34220</v>
      </c>
      <c r="AI23" s="293">
        <f t="shared" si="4"/>
        <v>0</v>
      </c>
      <c r="AJ23" s="293">
        <f t="shared" si="4"/>
        <v>0</v>
      </c>
      <c r="AK23" s="293">
        <f t="shared" si="4"/>
        <v>0</v>
      </c>
      <c r="AL23" s="293">
        <f t="shared" si="4"/>
        <v>0</v>
      </c>
      <c r="AM23" s="293">
        <f t="shared" si="4"/>
        <v>0</v>
      </c>
      <c r="AN23" s="293">
        <f t="shared" si="4"/>
        <v>0</v>
      </c>
      <c r="AO23" s="293">
        <f t="shared" si="4"/>
        <v>0</v>
      </c>
      <c r="AP23" s="293">
        <f t="shared" si="4"/>
        <v>0</v>
      </c>
      <c r="AQ23" s="340">
        <f t="shared" si="4"/>
        <v>0</v>
      </c>
    </row>
    <row r="24" spans="1:44" x14ac:dyDescent="0.25">
      <c r="A24" s="341"/>
      <c r="B24" s="342"/>
      <c r="C24" s="343" t="s">
        <v>406</v>
      </c>
      <c r="D24" s="344">
        <f t="shared" ref="D24:AQ24" si="5">IF(D$3&lt;&gt;0,Aanschafbudget,0)</f>
        <v>25000</v>
      </c>
      <c r="E24" s="344">
        <f t="shared" si="5"/>
        <v>25000</v>
      </c>
      <c r="F24" s="344">
        <f t="shared" si="5"/>
        <v>25000</v>
      </c>
      <c r="G24" s="344">
        <f t="shared" si="5"/>
        <v>25000</v>
      </c>
      <c r="H24" s="344">
        <f t="shared" si="5"/>
        <v>25000</v>
      </c>
      <c r="I24" s="344">
        <f t="shared" si="5"/>
        <v>25000</v>
      </c>
      <c r="J24" s="344">
        <f t="shared" si="5"/>
        <v>25000</v>
      </c>
      <c r="K24" s="344">
        <f t="shared" si="5"/>
        <v>25000</v>
      </c>
      <c r="L24" s="344">
        <f t="shared" si="5"/>
        <v>25000</v>
      </c>
      <c r="M24" s="344">
        <f t="shared" si="5"/>
        <v>25000</v>
      </c>
      <c r="N24" s="344">
        <f t="shared" si="5"/>
        <v>25000</v>
      </c>
      <c r="O24" s="344">
        <f t="shared" si="5"/>
        <v>25000</v>
      </c>
      <c r="P24" s="344">
        <f t="shared" si="5"/>
        <v>25000</v>
      </c>
      <c r="Q24" s="344">
        <f t="shared" si="5"/>
        <v>25000</v>
      </c>
      <c r="R24" s="344">
        <f t="shared" si="5"/>
        <v>25000</v>
      </c>
      <c r="S24" s="344">
        <f t="shared" si="5"/>
        <v>25000</v>
      </c>
      <c r="T24" s="344">
        <f t="shared" si="5"/>
        <v>25000</v>
      </c>
      <c r="U24" s="344">
        <f t="shared" si="5"/>
        <v>25000</v>
      </c>
      <c r="V24" s="344">
        <f t="shared" si="5"/>
        <v>25000</v>
      </c>
      <c r="W24" s="344">
        <f t="shared" si="5"/>
        <v>25000</v>
      </c>
      <c r="X24" s="344">
        <f t="shared" si="5"/>
        <v>25000</v>
      </c>
      <c r="Y24" s="344">
        <f t="shared" si="5"/>
        <v>25000</v>
      </c>
      <c r="Z24" s="344">
        <f t="shared" si="5"/>
        <v>25000</v>
      </c>
      <c r="AA24" s="344">
        <f t="shared" si="5"/>
        <v>25000</v>
      </c>
      <c r="AB24" s="344">
        <f t="shared" si="5"/>
        <v>25000</v>
      </c>
      <c r="AC24" s="344">
        <f t="shared" si="5"/>
        <v>25000</v>
      </c>
      <c r="AD24" s="344">
        <f t="shared" si="5"/>
        <v>25000</v>
      </c>
      <c r="AE24" s="344">
        <f t="shared" si="5"/>
        <v>25000</v>
      </c>
      <c r="AF24" s="344">
        <f t="shared" si="5"/>
        <v>25000</v>
      </c>
      <c r="AG24" s="344">
        <f t="shared" si="5"/>
        <v>25000</v>
      </c>
      <c r="AH24" s="344">
        <f t="shared" si="5"/>
        <v>25000</v>
      </c>
      <c r="AI24" s="344">
        <f t="shared" si="5"/>
        <v>25000</v>
      </c>
      <c r="AJ24" s="344">
        <f t="shared" si="5"/>
        <v>0</v>
      </c>
      <c r="AK24" s="344">
        <f t="shared" si="5"/>
        <v>0</v>
      </c>
      <c r="AL24" s="344">
        <f t="shared" si="5"/>
        <v>0</v>
      </c>
      <c r="AM24" s="344">
        <f t="shared" si="5"/>
        <v>0</v>
      </c>
      <c r="AN24" s="344">
        <f t="shared" si="5"/>
        <v>0</v>
      </c>
      <c r="AO24" s="344">
        <f t="shared" si="5"/>
        <v>0</v>
      </c>
      <c r="AP24" s="344">
        <f t="shared" si="5"/>
        <v>0</v>
      </c>
      <c r="AQ24" s="294">
        <f t="shared" si="5"/>
        <v>0</v>
      </c>
      <c r="AR24" s="32"/>
    </row>
    <row r="25" spans="1:44" s="64" customFormat="1" x14ac:dyDescent="0.25">
      <c r="A25" s="345"/>
      <c r="B25"/>
      <c r="C25" s="346" t="s">
        <v>367</v>
      </c>
      <c r="D25" s="295">
        <v>2</v>
      </c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7"/>
      <c r="AR25"/>
    </row>
    <row r="26" spans="1:44" s="302" customFormat="1" x14ac:dyDescent="0.25">
      <c r="A26" s="298"/>
      <c r="B26" s="299" t="s">
        <v>407</v>
      </c>
      <c r="C26" s="300">
        <f>SUM(D26:AQ26)</f>
        <v>36162</v>
      </c>
      <c r="D26" s="301">
        <f t="shared" ref="D26:AP26" si="6">IF(D$3&lt;&gt;0,Aanschafbudget-D23+D25,0)</f>
        <v>2522</v>
      </c>
      <c r="E26" s="301">
        <f>IF(E$3&lt;&gt;0,Aanschafbudget-E23+E25,0)</f>
        <v>25000</v>
      </c>
      <c r="F26" s="301">
        <f t="shared" si="6"/>
        <v>16055</v>
      </c>
      <c r="G26" s="301">
        <f t="shared" si="6"/>
        <v>2205</v>
      </c>
      <c r="H26" s="301">
        <f t="shared" si="6"/>
        <v>25000</v>
      </c>
      <c r="I26" s="301">
        <f t="shared" si="6"/>
        <v>25000</v>
      </c>
      <c r="J26" s="301">
        <f t="shared" si="6"/>
        <v>10910</v>
      </c>
      <c r="K26" s="301">
        <f t="shared" si="6"/>
        <v>14845</v>
      </c>
      <c r="L26" s="301">
        <f t="shared" si="6"/>
        <v>25000</v>
      </c>
      <c r="M26" s="301">
        <f t="shared" si="6"/>
        <v>16055</v>
      </c>
      <c r="N26" s="301">
        <f t="shared" si="6"/>
        <v>25000</v>
      </c>
      <c r="O26" s="301">
        <f t="shared" si="6"/>
        <v>9035</v>
      </c>
      <c r="P26" s="301">
        <f t="shared" si="6"/>
        <v>-10120</v>
      </c>
      <c r="Q26" s="301">
        <f t="shared" si="6"/>
        <v>-6420</v>
      </c>
      <c r="R26" s="301">
        <f t="shared" si="6"/>
        <v>-15540</v>
      </c>
      <c r="S26" s="301">
        <f t="shared" si="6"/>
        <v>12845</v>
      </c>
      <c r="T26" s="301">
        <f t="shared" si="6"/>
        <v>-48765</v>
      </c>
      <c r="U26" s="301">
        <f t="shared" si="6"/>
        <v>4440</v>
      </c>
      <c r="V26" s="301">
        <f t="shared" si="6"/>
        <v>2520</v>
      </c>
      <c r="W26" s="301">
        <f t="shared" si="6"/>
        <v>-7195</v>
      </c>
      <c r="X26" s="301">
        <f t="shared" si="6"/>
        <v>-28565</v>
      </c>
      <c r="Y26" s="301">
        <f t="shared" si="6"/>
        <v>25000</v>
      </c>
      <c r="Z26" s="301">
        <f t="shared" si="6"/>
        <v>-39570</v>
      </c>
      <c r="AA26" s="301">
        <f t="shared" si="6"/>
        <v>-880</v>
      </c>
      <c r="AB26" s="301">
        <f t="shared" si="6"/>
        <v>25000</v>
      </c>
      <c r="AC26" s="301">
        <f t="shared" si="6"/>
        <v>-11570</v>
      </c>
      <c r="AD26" s="301">
        <f t="shared" si="6"/>
        <v>10690</v>
      </c>
      <c r="AE26" s="301">
        <f t="shared" si="6"/>
        <v>-23130</v>
      </c>
      <c r="AF26" s="301">
        <f t="shared" si="6"/>
        <v>5240</v>
      </c>
      <c r="AG26" s="301">
        <f t="shared" si="6"/>
        <v>-70225</v>
      </c>
      <c r="AH26" s="301">
        <f t="shared" si="6"/>
        <v>-9220</v>
      </c>
      <c r="AI26" s="301">
        <f t="shared" si="6"/>
        <v>25000</v>
      </c>
      <c r="AJ26" s="301">
        <f t="shared" si="6"/>
        <v>0</v>
      </c>
      <c r="AK26" s="301">
        <f t="shared" si="6"/>
        <v>0</v>
      </c>
      <c r="AL26" s="301">
        <f t="shared" si="6"/>
        <v>0</v>
      </c>
      <c r="AM26" s="301">
        <f t="shared" si="6"/>
        <v>0</v>
      </c>
      <c r="AN26" s="301">
        <f t="shared" si="6"/>
        <v>0</v>
      </c>
      <c r="AO26" s="301">
        <f t="shared" si="6"/>
        <v>0</v>
      </c>
      <c r="AP26" s="301">
        <f t="shared" si="6"/>
        <v>0</v>
      </c>
      <c r="AQ26" s="294">
        <f>SUM(AQ6:AQ25)</f>
        <v>0</v>
      </c>
      <c r="AR26"/>
    </row>
    <row r="27" spans="1:44" x14ac:dyDescent="0.25">
      <c r="A27" s="298"/>
      <c r="B27" s="299" t="s">
        <v>408</v>
      </c>
      <c r="C27" s="347">
        <v>1</v>
      </c>
      <c r="D27" s="348">
        <f>IF(D$3&lt;&gt;0,C27+D26-C23,0)</f>
        <v>-22922</v>
      </c>
      <c r="E27" s="348">
        <f>IF(E$3&lt;&gt;0,D27+E26,0)</f>
        <v>2078</v>
      </c>
      <c r="F27" s="348">
        <f t="shared" ref="F27:AQ27" si="7">IF(F$3&lt;&gt;0,E27+F26,0)</f>
        <v>18133</v>
      </c>
      <c r="G27" s="348">
        <f t="shared" si="7"/>
        <v>20338</v>
      </c>
      <c r="H27" s="348">
        <f t="shared" si="7"/>
        <v>45338</v>
      </c>
      <c r="I27" s="348">
        <f t="shared" si="7"/>
        <v>70338</v>
      </c>
      <c r="J27" s="348">
        <f t="shared" si="7"/>
        <v>81248</v>
      </c>
      <c r="K27" s="348">
        <f t="shared" si="7"/>
        <v>96093</v>
      </c>
      <c r="L27" s="348">
        <f t="shared" si="7"/>
        <v>121093</v>
      </c>
      <c r="M27" s="348">
        <f t="shared" si="7"/>
        <v>137148</v>
      </c>
      <c r="N27" s="348">
        <f t="shared" si="7"/>
        <v>162148</v>
      </c>
      <c r="O27" s="348">
        <f t="shared" si="7"/>
        <v>171183</v>
      </c>
      <c r="P27" s="348">
        <f t="shared" si="7"/>
        <v>161063</v>
      </c>
      <c r="Q27" s="348">
        <f t="shared" si="7"/>
        <v>154643</v>
      </c>
      <c r="R27" s="348">
        <f t="shared" si="7"/>
        <v>139103</v>
      </c>
      <c r="S27" s="348">
        <f t="shared" si="7"/>
        <v>151948</v>
      </c>
      <c r="T27" s="348">
        <f t="shared" si="7"/>
        <v>103183</v>
      </c>
      <c r="U27" s="348">
        <f t="shared" si="7"/>
        <v>107623</v>
      </c>
      <c r="V27" s="348">
        <f t="shared" si="7"/>
        <v>110143</v>
      </c>
      <c r="W27" s="348">
        <f t="shared" si="7"/>
        <v>102948</v>
      </c>
      <c r="X27" s="348">
        <f t="shared" si="7"/>
        <v>74383</v>
      </c>
      <c r="Y27" s="348">
        <f t="shared" si="7"/>
        <v>99383</v>
      </c>
      <c r="Z27" s="348">
        <f t="shared" si="7"/>
        <v>59813</v>
      </c>
      <c r="AA27" s="348">
        <f t="shared" si="7"/>
        <v>58933</v>
      </c>
      <c r="AB27" s="348">
        <f t="shared" si="7"/>
        <v>83933</v>
      </c>
      <c r="AC27" s="348">
        <f t="shared" si="7"/>
        <v>72363</v>
      </c>
      <c r="AD27" s="348">
        <f t="shared" si="7"/>
        <v>83053</v>
      </c>
      <c r="AE27" s="348">
        <f t="shared" si="7"/>
        <v>59923</v>
      </c>
      <c r="AF27" s="348">
        <f t="shared" si="7"/>
        <v>65163</v>
      </c>
      <c r="AG27" s="348">
        <f t="shared" si="7"/>
        <v>-5062</v>
      </c>
      <c r="AH27" s="348">
        <f t="shared" si="7"/>
        <v>-14282</v>
      </c>
      <c r="AI27" s="348">
        <f t="shared" si="7"/>
        <v>10718</v>
      </c>
      <c r="AJ27" s="348">
        <f t="shared" si="7"/>
        <v>0</v>
      </c>
      <c r="AK27" s="348">
        <f t="shared" si="7"/>
        <v>0</v>
      </c>
      <c r="AL27" s="348">
        <f t="shared" si="7"/>
        <v>0</v>
      </c>
      <c r="AM27" s="348">
        <f t="shared" si="7"/>
        <v>0</v>
      </c>
      <c r="AN27" s="348">
        <f t="shared" si="7"/>
        <v>0</v>
      </c>
      <c r="AO27" s="348">
        <f t="shared" si="7"/>
        <v>0</v>
      </c>
      <c r="AP27" s="348">
        <f t="shared" si="7"/>
        <v>0</v>
      </c>
      <c r="AQ27" s="294">
        <f t="shared" si="7"/>
        <v>0</v>
      </c>
      <c r="AR27" s="230"/>
    </row>
    <row r="28" spans="1:44" x14ac:dyDescent="0.25">
      <c r="C28" s="303"/>
    </row>
    <row r="29" spans="1:44" x14ac:dyDescent="0.25">
      <c r="A29" s="304"/>
      <c r="B29" s="349">
        <f>levensduur</f>
        <v>31</v>
      </c>
      <c r="C29" s="32" t="s">
        <v>409</v>
      </c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6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</row>
    <row r="30" spans="1:44" x14ac:dyDescent="0.25">
      <c r="A30" s="304"/>
      <c r="B30" s="350">
        <f>Aanschafbudget</f>
        <v>25000</v>
      </c>
      <c r="C30" s="309" t="s">
        <v>368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8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</row>
    <row r="31" spans="1:44" x14ac:dyDescent="0.25">
      <c r="B31" s="350">
        <f>Hulptabel!$AG$1</f>
        <v>-16176.612903225805</v>
      </c>
      <c r="C31" s="351" t="str">
        <f>"Een boot die eerder dan "&amp;levensduur&amp; " jaar vervangen wordt, kost geld. Een boot die later vervangen wordt levert geld op. Dit is het saldo."</f>
        <v>Een boot die eerder dan 31 jaar vervangen wordt, kost geld. Een boot die later vervangen wordt levert geld op. Dit is het saldo.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10"/>
    </row>
    <row r="32" spans="1:44" x14ac:dyDescent="0.25">
      <c r="B32" s="352">
        <f>IF(B30=0,0,B31/B30)</f>
        <v>-0.64706451612903215</v>
      </c>
      <c r="C32" s="353" t="s">
        <v>176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311"/>
    </row>
    <row r="33" spans="2:16" x14ac:dyDescent="0.25"/>
    <row r="34" spans="2:16" x14ac:dyDescent="0.25">
      <c r="B34" s="312" t="str">
        <f>"Op basis van een jaarbudget van "&amp;TEXT(Kentallen!$F$7,"##0.000")&amp;" euro en een vervangingstermijn van "&amp;levensduur&amp; " jaar is deze investeringsprognose t/m "&amp;$B$3&amp;" uitgerekend."</f>
        <v>Op basis van een jaarbudget van 25.000 euro en een vervangingstermijn van 31 jaar is deze investeringsprognose t/m 2043 uitgerekend.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4"/>
    </row>
    <row r="35" spans="2:16" x14ac:dyDescent="0.25">
      <c r="B35" s="315" t="s">
        <v>369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7"/>
    </row>
    <row r="36" spans="2:16" x14ac:dyDescent="0.25">
      <c r="B36" s="318" t="s">
        <v>370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20"/>
    </row>
    <row r="37" spans="2:16" x14ac:dyDescent="0.25"/>
    <row r="38" spans="2:16" x14ac:dyDescent="0.25"/>
  </sheetData>
  <pageMargins left="0.23622047244094491" right="0.23622047244094491" top="0.45" bottom="0.49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I13" sqref="I13"/>
    </sheetView>
  </sheetViews>
  <sheetFormatPr defaultRowHeight="15" x14ac:dyDescent="0.25"/>
  <cols>
    <col min="1" max="1" width="17.5703125" style="92" customWidth="1"/>
    <col min="2" max="2" width="7.85546875" style="92" bestFit="1" customWidth="1"/>
    <col min="3" max="3" width="7" style="92" bestFit="1" customWidth="1"/>
    <col min="4" max="4" width="7.85546875" style="92" bestFit="1" customWidth="1"/>
    <col min="5" max="31" width="9.42578125" style="92" customWidth="1"/>
    <col min="32" max="32" width="9.140625" style="92"/>
    <col min="33" max="33" width="9.85546875" style="92" bestFit="1" customWidth="1"/>
    <col min="34" max="16384" width="9.140625" style="92"/>
  </cols>
  <sheetData>
    <row r="1" spans="1:35" x14ac:dyDescent="0.25">
      <c r="A1" s="377" t="s">
        <v>421</v>
      </c>
      <c r="B1" s="378"/>
      <c r="C1" s="378"/>
      <c r="D1" s="378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379" t="s">
        <v>466</v>
      </c>
      <c r="Z1" s="227"/>
      <c r="AA1" s="227"/>
      <c r="AB1" s="379" t="s">
        <v>422</v>
      </c>
      <c r="AC1" s="380"/>
    </row>
    <row r="2" spans="1:35" x14ac:dyDescent="0.25">
      <c r="A2" s="651" t="s">
        <v>423</v>
      </c>
      <c r="B2" s="652"/>
      <c r="C2" s="652"/>
      <c r="D2" s="653"/>
      <c r="E2" s="381" t="s">
        <v>424</v>
      </c>
      <c r="F2" s="382" t="s">
        <v>213</v>
      </c>
      <c r="G2" s="382" t="s">
        <v>219</v>
      </c>
      <c r="H2" s="382" t="s">
        <v>242</v>
      </c>
      <c r="I2" s="383" t="s">
        <v>410</v>
      </c>
      <c r="J2" s="382" t="s">
        <v>319</v>
      </c>
      <c r="K2" s="382" t="s">
        <v>314</v>
      </c>
      <c r="L2" s="382" t="s">
        <v>304</v>
      </c>
      <c r="M2" s="382" t="s">
        <v>207</v>
      </c>
      <c r="N2" s="382" t="s">
        <v>271</v>
      </c>
      <c r="O2" s="383" t="s">
        <v>300</v>
      </c>
      <c r="P2" s="382" t="s">
        <v>310</v>
      </c>
      <c r="Q2" s="382" t="s">
        <v>291</v>
      </c>
      <c r="R2" s="382" t="s">
        <v>278</v>
      </c>
      <c r="S2" s="383" t="s">
        <v>327</v>
      </c>
      <c r="T2" s="382" t="s">
        <v>223</v>
      </c>
      <c r="U2" s="383" t="s">
        <v>280</v>
      </c>
      <c r="V2" s="382" t="s">
        <v>258</v>
      </c>
      <c r="W2" s="382" t="s">
        <v>342</v>
      </c>
      <c r="X2" s="384" t="s">
        <v>341</v>
      </c>
      <c r="Y2" s="385" t="s">
        <v>145</v>
      </c>
      <c r="Z2" s="385" t="s">
        <v>145</v>
      </c>
      <c r="AA2" s="385" t="s">
        <v>145</v>
      </c>
      <c r="AB2" s="386" t="s">
        <v>425</v>
      </c>
      <c r="AC2" s="386" t="s">
        <v>426</v>
      </c>
    </row>
    <row r="3" spans="1:35" x14ac:dyDescent="0.25">
      <c r="A3" s="387"/>
      <c r="B3" s="388"/>
      <c r="C3" s="388"/>
      <c r="D3" s="389" t="s">
        <v>427</v>
      </c>
      <c r="E3" s="511">
        <f>SUM(F3:AA3)</f>
        <v>66</v>
      </c>
      <c r="F3" s="390">
        <f>Vlootplan!D29</f>
        <v>25</v>
      </c>
      <c r="G3" s="390">
        <f>Vlootplan!E29</f>
        <v>9</v>
      </c>
      <c r="H3" s="390">
        <f>Vlootplan!F29</f>
        <v>6</v>
      </c>
      <c r="I3" s="391">
        <f>Vlootplan!G29</f>
        <v>0</v>
      </c>
      <c r="J3" s="390">
        <f>Vlootplan!H29</f>
        <v>1</v>
      </c>
      <c r="K3" s="390">
        <f>Vlootplan!I29</f>
        <v>0</v>
      </c>
      <c r="L3" s="390">
        <f>Vlootplan!J29</f>
        <v>0</v>
      </c>
      <c r="M3" s="390">
        <f>Vlootplan!K29</f>
        <v>2</v>
      </c>
      <c r="N3" s="390">
        <f>Vlootplan!L29</f>
        <v>2</v>
      </c>
      <c r="O3" s="391">
        <f>Vlootplan!M29</f>
        <v>5</v>
      </c>
      <c r="P3" s="390">
        <f>Vlootplan!N29</f>
        <v>2</v>
      </c>
      <c r="Q3" s="390">
        <f>Vlootplan!O29</f>
        <v>2</v>
      </c>
      <c r="R3" s="390">
        <f>Vlootplan!P29</f>
        <v>3</v>
      </c>
      <c r="S3" s="391">
        <f>Vlootplan!Q29</f>
        <v>1</v>
      </c>
      <c r="T3" s="390">
        <f>Vlootplan!R29</f>
        <v>2</v>
      </c>
      <c r="U3" s="391">
        <f>Vlootplan!S29</f>
        <v>1</v>
      </c>
      <c r="V3" s="390">
        <f>Vlootplan!T29</f>
        <v>5</v>
      </c>
      <c r="W3" s="390">
        <f>Vlootplan!U29</f>
        <v>0</v>
      </c>
      <c r="X3" s="392">
        <f>Vlootplan!V29</f>
        <v>0</v>
      </c>
      <c r="Y3" s="508">
        <v>0</v>
      </c>
      <c r="Z3" s="508">
        <v>0</v>
      </c>
      <c r="AA3" s="508">
        <v>0</v>
      </c>
      <c r="AB3" s="394"/>
      <c r="AC3" s="395">
        <f>(($F3+$J3+$K3+$O3+$S3+$U3+$W3)*2)+(($G3+$L3+$M3+$P3+$Q3+$T3+$V3+$X3)*4)+(($H3+$I3+$N3+$R3)*8)</f>
        <v>242</v>
      </c>
    </row>
    <row r="4" spans="1:35" x14ac:dyDescent="0.25">
      <c r="A4" s="654" t="s">
        <v>428</v>
      </c>
      <c r="B4" s="655"/>
      <c r="C4" s="655"/>
      <c r="D4" s="656"/>
      <c r="E4" s="396">
        <f>AVERAGE(F4:AA4)</f>
        <v>10.357142857142858</v>
      </c>
      <c r="F4" s="397">
        <v>8</v>
      </c>
      <c r="G4" s="397">
        <v>12</v>
      </c>
      <c r="H4" s="397">
        <v>9.5</v>
      </c>
      <c r="I4" s="400"/>
      <c r="J4" s="397">
        <v>12</v>
      </c>
      <c r="K4" s="397">
        <v>9.5</v>
      </c>
      <c r="L4" s="397">
        <v>12</v>
      </c>
      <c r="M4" s="397">
        <v>12</v>
      </c>
      <c r="N4" s="397">
        <v>17</v>
      </c>
      <c r="O4" s="398">
        <v>8</v>
      </c>
      <c r="P4" s="399">
        <v>9</v>
      </c>
      <c r="Q4" s="399">
        <v>9.5</v>
      </c>
      <c r="R4" s="399">
        <v>9.5</v>
      </c>
      <c r="S4" s="398"/>
      <c r="T4" s="399"/>
      <c r="U4" s="400"/>
      <c r="V4" s="397">
        <v>8.5</v>
      </c>
      <c r="W4" s="397">
        <v>8.5</v>
      </c>
      <c r="X4" s="401"/>
      <c r="Y4" s="397"/>
      <c r="Z4" s="397"/>
      <c r="AA4" s="397"/>
      <c r="AB4" s="402"/>
      <c r="AC4" s="394"/>
    </row>
    <row r="5" spans="1:35" x14ac:dyDescent="0.25">
      <c r="A5" s="509"/>
      <c r="B5" s="142"/>
      <c r="C5" s="142"/>
      <c r="D5" s="403" t="str">
        <f>IF($W$9=2, "Correctie op vlootplan (+/-)",IF($W$9=1,"-","Eigen aantallen"))</f>
        <v>Correctie op vlootplan (+/-)</v>
      </c>
      <c r="E5" s="404">
        <f>SUM(F5:AA5)</f>
        <v>2</v>
      </c>
      <c r="F5" s="405">
        <v>1</v>
      </c>
      <c r="G5" s="405"/>
      <c r="H5" s="405">
        <v>1</v>
      </c>
      <c r="I5" s="406">
        <v>0</v>
      </c>
      <c r="J5" s="405">
        <v>1</v>
      </c>
      <c r="K5" s="405">
        <v>0</v>
      </c>
      <c r="L5" s="405">
        <v>0</v>
      </c>
      <c r="M5" s="405"/>
      <c r="N5" s="405"/>
      <c r="O5" s="406"/>
      <c r="P5" s="405"/>
      <c r="Q5" s="405"/>
      <c r="R5" s="405"/>
      <c r="S5" s="406"/>
      <c r="T5" s="405">
        <v>-1</v>
      </c>
      <c r="U5" s="406"/>
      <c r="V5" s="405"/>
      <c r="W5" s="405"/>
      <c r="X5" s="407"/>
      <c r="Y5" s="405"/>
      <c r="Z5" s="405"/>
      <c r="AA5" s="405"/>
      <c r="AB5" s="408">
        <f>8+6</f>
        <v>14</v>
      </c>
      <c r="AC5" s="409"/>
    </row>
    <row r="6" spans="1:35" x14ac:dyDescent="0.25">
      <c r="A6" s="654" t="str">
        <f>" Gebruikte aantallen: "&amp;U10</f>
        <v xml:space="preserve"> Gebruikte aantallen: Vlootplan+correctie</v>
      </c>
      <c r="B6" s="655"/>
      <c r="C6" s="655"/>
      <c r="D6" s="656"/>
      <c r="E6" s="410">
        <f>SUM(F6:AA6)</f>
        <v>68</v>
      </c>
      <c r="F6" s="411">
        <f t="shared" ref="F6:M6" si="0">IF($W$9=1,F3,IF($W$9=2,F3+F5,F5))</f>
        <v>26</v>
      </c>
      <c r="G6" s="411">
        <f t="shared" si="0"/>
        <v>9</v>
      </c>
      <c r="H6" s="411">
        <f t="shared" si="0"/>
        <v>7</v>
      </c>
      <c r="I6" s="412">
        <f t="shared" si="0"/>
        <v>0</v>
      </c>
      <c r="J6" s="411">
        <f t="shared" si="0"/>
        <v>2</v>
      </c>
      <c r="K6" s="411">
        <f t="shared" si="0"/>
        <v>0</v>
      </c>
      <c r="L6" s="411">
        <f t="shared" si="0"/>
        <v>0</v>
      </c>
      <c r="M6" s="411">
        <f t="shared" si="0"/>
        <v>2</v>
      </c>
      <c r="N6" s="411">
        <f>IF($W$9=1,N3,IF($W$9=2,N3+N5,N5))</f>
        <v>2</v>
      </c>
      <c r="O6" s="412">
        <f t="shared" ref="O6:AA6" si="1">IF($W$9=1,O3,IF($W$9=2,O3+O5,O5))</f>
        <v>5</v>
      </c>
      <c r="P6" s="411">
        <f t="shared" si="1"/>
        <v>2</v>
      </c>
      <c r="Q6" s="411">
        <f t="shared" si="1"/>
        <v>2</v>
      </c>
      <c r="R6" s="411">
        <f t="shared" si="1"/>
        <v>3</v>
      </c>
      <c r="S6" s="412">
        <f t="shared" si="1"/>
        <v>1</v>
      </c>
      <c r="T6" s="411">
        <f>IF($W$9=1,T3,IF($W$9=2,T3+T5,T5))</f>
        <v>1</v>
      </c>
      <c r="U6" s="412">
        <f t="shared" si="1"/>
        <v>1</v>
      </c>
      <c r="V6" s="411">
        <f t="shared" si="1"/>
        <v>5</v>
      </c>
      <c r="W6" s="411">
        <f t="shared" si="1"/>
        <v>0</v>
      </c>
      <c r="X6" s="413">
        <f t="shared" si="1"/>
        <v>0</v>
      </c>
      <c r="Y6" s="411">
        <f t="shared" si="1"/>
        <v>0</v>
      </c>
      <c r="Z6" s="411">
        <f t="shared" si="1"/>
        <v>0</v>
      </c>
      <c r="AA6" s="411">
        <f t="shared" si="1"/>
        <v>0</v>
      </c>
      <c r="AB6" s="412">
        <f>AB5</f>
        <v>14</v>
      </c>
      <c r="AC6" s="414">
        <f>(($F6+$J6+$K6+$O6+$S6+$U6+$W6)*2)+(($G6+$L6+$M6+$P6+$Q6+$T6+$V6+$X6)*4)+(($H6+$I6+$N6+$R6)*8)+AB6</f>
        <v>264</v>
      </c>
    </row>
    <row r="7" spans="1:35" x14ac:dyDescent="0.25">
      <c r="A7" s="657" t="s">
        <v>429</v>
      </c>
      <c r="B7" s="658"/>
      <c r="C7" s="658"/>
      <c r="D7" s="659"/>
      <c r="E7" s="415">
        <f>SUM(F7:AA7)</f>
        <v>612.5</v>
      </c>
      <c r="F7" s="416">
        <f>F4*F6</f>
        <v>208</v>
      </c>
      <c r="G7" s="416">
        <f>G4*G6</f>
        <v>108</v>
      </c>
      <c r="H7" s="416">
        <f t="shared" ref="H7:AA7" si="2">H4*H6</f>
        <v>66.5</v>
      </c>
      <c r="I7" s="417">
        <f t="shared" si="2"/>
        <v>0</v>
      </c>
      <c r="J7" s="416">
        <f t="shared" si="2"/>
        <v>24</v>
      </c>
      <c r="K7" s="416">
        <f t="shared" si="2"/>
        <v>0</v>
      </c>
      <c r="L7" s="416">
        <f t="shared" si="2"/>
        <v>0</v>
      </c>
      <c r="M7" s="416">
        <f t="shared" si="2"/>
        <v>24</v>
      </c>
      <c r="N7" s="416">
        <f t="shared" si="2"/>
        <v>34</v>
      </c>
      <c r="O7" s="417">
        <f t="shared" si="2"/>
        <v>40</v>
      </c>
      <c r="P7" s="416">
        <f t="shared" si="2"/>
        <v>18</v>
      </c>
      <c r="Q7" s="416">
        <f t="shared" si="2"/>
        <v>19</v>
      </c>
      <c r="R7" s="416">
        <f t="shared" si="2"/>
        <v>28.5</v>
      </c>
      <c r="S7" s="417">
        <f t="shared" si="2"/>
        <v>0</v>
      </c>
      <c r="T7" s="416">
        <f t="shared" si="2"/>
        <v>0</v>
      </c>
      <c r="U7" s="417">
        <f t="shared" si="2"/>
        <v>0</v>
      </c>
      <c r="V7" s="416">
        <f t="shared" si="2"/>
        <v>42.5</v>
      </c>
      <c r="W7" s="416">
        <f t="shared" si="2"/>
        <v>0</v>
      </c>
      <c r="X7" s="418">
        <f t="shared" si="2"/>
        <v>0</v>
      </c>
      <c r="Y7" s="416">
        <f t="shared" si="2"/>
        <v>0</v>
      </c>
      <c r="Z7" s="416">
        <f t="shared" si="2"/>
        <v>0</v>
      </c>
      <c r="AA7" s="416">
        <f t="shared" si="2"/>
        <v>0</v>
      </c>
      <c r="AB7" s="419"/>
      <c r="AC7" s="420"/>
    </row>
    <row r="8" spans="1:35" x14ac:dyDescent="0.25">
      <c r="L8" s="93"/>
      <c r="M8" s="421"/>
      <c r="N8" s="416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</row>
    <row r="9" spans="1:35" x14ac:dyDescent="0.25">
      <c r="D9" s="226" t="s">
        <v>430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380"/>
      <c r="Q9" s="226" t="s">
        <v>431</v>
      </c>
      <c r="R9" s="227"/>
      <c r="S9" s="227"/>
      <c r="T9" s="227"/>
      <c r="U9" s="227"/>
      <c r="V9" s="380"/>
      <c r="W9" s="423">
        <f>IF($U$10="Vlootplan+correctie", 2,IF($U$10="Vlootplan",1,3))</f>
        <v>2</v>
      </c>
      <c r="X9" s="227"/>
      <c r="Y9" s="227"/>
      <c r="Z9" s="424" t="s">
        <v>432</v>
      </c>
      <c r="AA9" s="227"/>
      <c r="AB9" s="227"/>
      <c r="AC9" s="380"/>
      <c r="AD9" s="422"/>
    </row>
    <row r="10" spans="1:35" x14ac:dyDescent="0.25">
      <c r="D10" s="129"/>
      <c r="E10" s="130"/>
      <c r="F10" s="130"/>
      <c r="G10" s="130"/>
      <c r="H10" s="425" t="s">
        <v>433</v>
      </c>
      <c r="I10" s="426">
        <f>E7</f>
        <v>612.5</v>
      </c>
      <c r="J10" s="427">
        <f>I10</f>
        <v>612.5</v>
      </c>
      <c r="K10" s="129" t="s">
        <v>433</v>
      </c>
      <c r="L10" s="130"/>
      <c r="M10" s="130"/>
      <c r="N10" s="130"/>
      <c r="O10" s="132"/>
      <c r="Q10" s="387"/>
      <c r="R10" s="388"/>
      <c r="S10" s="388"/>
      <c r="T10" s="428" t="s">
        <v>434</v>
      </c>
      <c r="U10" s="660" t="s">
        <v>465</v>
      </c>
      <c r="V10" s="661"/>
      <c r="W10" s="129" t="s">
        <v>467</v>
      </c>
      <c r="X10" s="429"/>
      <c r="Y10" s="429"/>
      <c r="Z10" s="429"/>
      <c r="AA10" s="429"/>
      <c r="AB10" s="429"/>
      <c r="AC10" s="430"/>
      <c r="AD10" s="422"/>
    </row>
    <row r="11" spans="1:35" x14ac:dyDescent="0.25">
      <c r="D11" s="147"/>
      <c r="E11" s="51"/>
      <c r="F11" s="51"/>
      <c r="G11" s="51"/>
      <c r="H11" s="431" t="s">
        <v>475</v>
      </c>
      <c r="I11" s="432">
        <f>U12</f>
        <v>0.8</v>
      </c>
      <c r="J11" s="433">
        <f>G18</f>
        <v>0.75171821305841913</v>
      </c>
      <c r="K11" s="434" t="s">
        <v>435</v>
      </c>
      <c r="L11" s="51"/>
      <c r="M11" s="51"/>
      <c r="N11" s="51"/>
      <c r="O11" s="94"/>
      <c r="Q11" s="129"/>
      <c r="R11" s="130"/>
      <c r="S11" s="130"/>
      <c r="T11" s="435" t="s">
        <v>436</v>
      </c>
      <c r="U11" s="649">
        <v>18</v>
      </c>
      <c r="V11" s="650"/>
      <c r="W11" s="436" t="s">
        <v>437</v>
      </c>
      <c r="X11" s="437"/>
      <c r="Y11" s="437"/>
      <c r="Z11" s="437"/>
      <c r="AA11" s="437"/>
      <c r="AB11" s="437"/>
      <c r="AC11" s="438"/>
    </row>
    <row r="12" spans="1:35" x14ac:dyDescent="0.25">
      <c r="D12" s="147"/>
      <c r="E12" s="51"/>
      <c r="F12" s="51"/>
      <c r="G12" s="51"/>
      <c r="H12" s="431" t="s">
        <v>479</v>
      </c>
      <c r="I12" s="439">
        <f>(I10/I11)</f>
        <v>765.625</v>
      </c>
      <c r="J12" s="440">
        <f>$F$18</f>
        <v>814.80000000000018</v>
      </c>
      <c r="K12" s="147" t="s">
        <v>438</v>
      </c>
      <c r="L12" s="51"/>
      <c r="M12" s="51"/>
      <c r="N12" s="51"/>
      <c r="O12" s="94"/>
      <c r="Q12" s="141"/>
      <c r="R12" s="142"/>
      <c r="S12" s="142"/>
      <c r="T12" s="441" t="s">
        <v>475</v>
      </c>
      <c r="U12" s="442">
        <v>0.8</v>
      </c>
      <c r="V12" s="443"/>
      <c r="W12" s="147" t="s">
        <v>439</v>
      </c>
      <c r="X12" s="51"/>
      <c r="Y12" s="51"/>
      <c r="Z12" s="51"/>
      <c r="AA12" s="51"/>
      <c r="AB12" s="51"/>
      <c r="AC12" s="444"/>
    </row>
    <row r="13" spans="1:35" x14ac:dyDescent="0.25">
      <c r="D13" s="141"/>
      <c r="E13" s="142"/>
      <c r="F13" s="142"/>
      <c r="G13" s="142"/>
      <c r="H13" s="403" t="s">
        <v>440</v>
      </c>
      <c r="I13" s="445">
        <f>$AC$6/$U$11</f>
        <v>14.666666666666666</v>
      </c>
      <c r="J13" s="446">
        <f>D18</f>
        <v>20</v>
      </c>
      <c r="K13" s="141" t="s">
        <v>441</v>
      </c>
      <c r="L13" s="142"/>
      <c r="M13" s="142"/>
      <c r="N13" s="142"/>
      <c r="O13" s="144"/>
      <c r="Q13" s="387"/>
      <c r="R13" s="388"/>
      <c r="S13" s="388"/>
      <c r="T13" s="428" t="s">
        <v>442</v>
      </c>
      <c r="U13" s="447">
        <f>1-U12</f>
        <v>0.19999999999999996</v>
      </c>
      <c r="V13" s="448"/>
      <c r="W13" s="141" t="s">
        <v>476</v>
      </c>
      <c r="X13" s="142"/>
      <c r="Y13" s="142"/>
      <c r="Z13" s="142"/>
      <c r="AA13" s="142"/>
      <c r="AB13" s="142"/>
      <c r="AC13" s="449"/>
    </row>
    <row r="14" spans="1:35" x14ac:dyDescent="0.25">
      <c r="D14" s="51"/>
      <c r="E14" s="51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</row>
    <row r="15" spans="1:35" x14ac:dyDescent="0.25">
      <c r="A15" s="377" t="s">
        <v>443</v>
      </c>
      <c r="B15" s="378"/>
      <c r="C15" s="378"/>
      <c r="D15" s="378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380"/>
    </row>
    <row r="16" spans="1:35" x14ac:dyDescent="0.25">
      <c r="A16" s="450"/>
      <c r="B16" s="451" t="s">
        <v>444</v>
      </c>
      <c r="C16" s="452" t="s">
        <v>445</v>
      </c>
      <c r="D16" s="453" t="s">
        <v>446</v>
      </c>
      <c r="E16" s="454"/>
      <c r="F16" s="455" t="s">
        <v>447</v>
      </c>
      <c r="G16" s="456"/>
      <c r="H16" s="455" t="s">
        <v>448</v>
      </c>
      <c r="I16" s="457" t="s">
        <v>449</v>
      </c>
      <c r="J16" s="458" t="str">
        <f t="shared" ref="J16:AB16" si="3">F2</f>
        <v>1x</v>
      </c>
      <c r="K16" s="458" t="str">
        <f t="shared" si="3"/>
        <v>2x</v>
      </c>
      <c r="L16" s="458" t="str">
        <f t="shared" si="3"/>
        <v>4x+</v>
      </c>
      <c r="M16" s="460" t="str">
        <f t="shared" si="3"/>
        <v>4x</v>
      </c>
      <c r="N16" s="458" t="str">
        <f t="shared" si="3"/>
        <v>2-</v>
      </c>
      <c r="O16" s="458" t="str">
        <f t="shared" si="3"/>
        <v>2+</v>
      </c>
      <c r="P16" s="458" t="str">
        <f t="shared" si="3"/>
        <v>4-</v>
      </c>
      <c r="Q16" s="458" t="str">
        <f t="shared" si="3"/>
        <v>4+</v>
      </c>
      <c r="R16" s="460" t="str">
        <f t="shared" si="3"/>
        <v>8+</v>
      </c>
      <c r="S16" s="458" t="str">
        <f t="shared" si="3"/>
        <v>C1x</v>
      </c>
      <c r="T16" s="458" t="str">
        <f t="shared" si="3"/>
        <v>C2x</v>
      </c>
      <c r="U16" s="458" t="str">
        <f t="shared" si="3"/>
        <v>C2x+</v>
      </c>
      <c r="V16" s="458" t="str">
        <f t="shared" si="3"/>
        <v>C4x+</v>
      </c>
      <c r="W16" s="459" t="str">
        <f t="shared" si="3"/>
        <v>C2+</v>
      </c>
      <c r="X16" s="458" t="str">
        <f t="shared" si="3"/>
        <v>C4+</v>
      </c>
      <c r="Y16" s="459" t="str">
        <f t="shared" si="3"/>
        <v>W1x+</v>
      </c>
      <c r="Z16" s="458" t="str">
        <f t="shared" si="3"/>
        <v>W2x+</v>
      </c>
      <c r="AA16" s="458" t="str">
        <f t="shared" si="3"/>
        <v>W2+</v>
      </c>
      <c r="AB16" s="460" t="str">
        <f t="shared" si="3"/>
        <v>W4+</v>
      </c>
      <c r="AC16" s="458" t="str">
        <f>IF(Y2="","-",Y2)</f>
        <v>-</v>
      </c>
      <c r="AD16" s="458" t="str">
        <f>IF(Z2="","-",Z2)</f>
        <v>-</v>
      </c>
      <c r="AE16" s="460" t="str">
        <f>IF(AA2="","-",AA2)</f>
        <v>-</v>
      </c>
    </row>
    <row r="17" spans="1:31" x14ac:dyDescent="0.25">
      <c r="A17" s="461" t="s">
        <v>450</v>
      </c>
      <c r="B17" s="462" t="s">
        <v>451</v>
      </c>
      <c r="C17" s="463" t="s">
        <v>452</v>
      </c>
      <c r="D17" s="464" t="s">
        <v>453</v>
      </c>
      <c r="E17" s="465" t="s">
        <v>454</v>
      </c>
      <c r="F17" s="466" t="s">
        <v>452</v>
      </c>
      <c r="G17" s="467" t="s">
        <v>455</v>
      </c>
      <c r="H17" s="466" t="s">
        <v>452</v>
      </c>
      <c r="I17" s="465" t="s">
        <v>456</v>
      </c>
      <c r="J17" s="468">
        <f t="shared" ref="J17:AE17" si="4">IF(F6=0,"-",F6-J18)</f>
        <v>0</v>
      </c>
      <c r="K17" s="468">
        <f t="shared" si="4"/>
        <v>0</v>
      </c>
      <c r="L17" s="468">
        <f t="shared" si="4"/>
        <v>0</v>
      </c>
      <c r="M17" s="470" t="str">
        <f t="shared" si="4"/>
        <v>-</v>
      </c>
      <c r="N17" s="468">
        <f t="shared" si="4"/>
        <v>0</v>
      </c>
      <c r="O17" s="468" t="str">
        <f t="shared" si="4"/>
        <v>-</v>
      </c>
      <c r="P17" s="468" t="str">
        <f t="shared" si="4"/>
        <v>-</v>
      </c>
      <c r="Q17" s="468">
        <f t="shared" si="4"/>
        <v>0</v>
      </c>
      <c r="R17" s="470">
        <f t="shared" si="4"/>
        <v>0</v>
      </c>
      <c r="S17" s="468">
        <f t="shared" si="4"/>
        <v>0</v>
      </c>
      <c r="T17" s="468">
        <f t="shared" si="4"/>
        <v>0</v>
      </c>
      <c r="U17" s="468">
        <f t="shared" si="4"/>
        <v>0</v>
      </c>
      <c r="V17" s="468">
        <f t="shared" si="4"/>
        <v>0</v>
      </c>
      <c r="W17" s="469">
        <f t="shared" si="4"/>
        <v>0</v>
      </c>
      <c r="X17" s="468">
        <f t="shared" si="4"/>
        <v>0</v>
      </c>
      <c r="Y17" s="469">
        <f t="shared" si="4"/>
        <v>0</v>
      </c>
      <c r="Z17" s="468">
        <f t="shared" si="4"/>
        <v>0</v>
      </c>
      <c r="AA17" s="468" t="str">
        <f t="shared" si="4"/>
        <v>-</v>
      </c>
      <c r="AB17" s="470" t="str">
        <f t="shared" si="4"/>
        <v>-</v>
      </c>
      <c r="AC17" s="468" t="str">
        <f t="shared" si="4"/>
        <v>-</v>
      </c>
      <c r="AD17" s="468" t="str">
        <f t="shared" si="4"/>
        <v>-</v>
      </c>
      <c r="AE17" s="470" t="str">
        <f t="shared" si="4"/>
        <v>-</v>
      </c>
    </row>
    <row r="18" spans="1:31" x14ac:dyDescent="0.25">
      <c r="A18" s="471"/>
      <c r="B18" s="472"/>
      <c r="C18" s="472"/>
      <c r="D18" s="473">
        <f>SUM(D$19:D$45)</f>
        <v>20</v>
      </c>
      <c r="E18" s="474"/>
      <c r="F18" s="475">
        <f>SUM(F$19:F$45)</f>
        <v>814.80000000000018</v>
      </c>
      <c r="G18" s="476">
        <f>IF(F18=0,"-",H18/F18)</f>
        <v>0.75171821305841913</v>
      </c>
      <c r="H18" s="477">
        <f>SUM(H$19:H$45)</f>
        <v>612.5</v>
      </c>
      <c r="I18" s="478">
        <f>SUM(I$19:I$45)</f>
        <v>68</v>
      </c>
      <c r="J18" s="479">
        <f t="shared" ref="J18:W18" si="5">SUM(J$19:J$48)</f>
        <v>26</v>
      </c>
      <c r="K18" s="393">
        <f t="shared" si="5"/>
        <v>9</v>
      </c>
      <c r="L18" s="393">
        <f t="shared" si="5"/>
        <v>7</v>
      </c>
      <c r="M18" s="480">
        <f t="shared" si="5"/>
        <v>0</v>
      </c>
      <c r="N18" s="393">
        <f t="shared" si="5"/>
        <v>2</v>
      </c>
      <c r="O18" s="393">
        <f t="shared" si="5"/>
        <v>0</v>
      </c>
      <c r="P18" s="393">
        <f t="shared" si="5"/>
        <v>0</v>
      </c>
      <c r="Q18" s="393">
        <f t="shared" si="5"/>
        <v>2</v>
      </c>
      <c r="R18" s="480">
        <f t="shared" si="5"/>
        <v>2</v>
      </c>
      <c r="S18" s="393">
        <f t="shared" si="5"/>
        <v>5</v>
      </c>
      <c r="T18" s="393">
        <f t="shared" si="5"/>
        <v>2</v>
      </c>
      <c r="U18" s="393">
        <f t="shared" si="5"/>
        <v>2</v>
      </c>
      <c r="V18" s="393">
        <f t="shared" si="5"/>
        <v>3</v>
      </c>
      <c r="W18" s="479">
        <f t="shared" si="5"/>
        <v>1</v>
      </c>
      <c r="X18" s="393">
        <f t="shared" ref="X18:AE18" si="6">SUM(X$19:X$48)</f>
        <v>1</v>
      </c>
      <c r="Y18" s="479">
        <f t="shared" si="6"/>
        <v>1</v>
      </c>
      <c r="Z18" s="393">
        <f t="shared" si="6"/>
        <v>5</v>
      </c>
      <c r="AA18" s="393">
        <f t="shared" si="6"/>
        <v>0</v>
      </c>
      <c r="AB18" s="480">
        <f t="shared" si="6"/>
        <v>0</v>
      </c>
      <c r="AC18" s="393">
        <f t="shared" si="6"/>
        <v>0</v>
      </c>
      <c r="AD18" s="393">
        <f t="shared" si="6"/>
        <v>0</v>
      </c>
      <c r="AE18" s="480">
        <f t="shared" si="6"/>
        <v>0</v>
      </c>
    </row>
    <row r="19" spans="1:31" x14ac:dyDescent="0.25">
      <c r="A19" s="481" t="s">
        <v>457</v>
      </c>
      <c r="B19" s="182" t="s">
        <v>458</v>
      </c>
      <c r="C19" s="482">
        <v>27</v>
      </c>
      <c r="D19" s="482"/>
      <c r="E19" s="182">
        <v>4</v>
      </c>
      <c r="F19" s="483">
        <f>($C19-$D19)*$E19</f>
        <v>108</v>
      </c>
      <c r="G19" s="484">
        <f t="shared" ref="G19:G48" si="7">IF(F19=0,0,H19/F19)</f>
        <v>0.7407407407407407</v>
      </c>
      <c r="H19" s="485">
        <f t="shared" ref="H19:H48" si="8">SUMPRODUCT($F$4:$AA$4,$J19:$AE19)</f>
        <v>80</v>
      </c>
      <c r="I19" s="486">
        <f t="shared" ref="I19:I48" si="9">SUM(J19:AE19)</f>
        <v>8</v>
      </c>
      <c r="J19" s="487"/>
      <c r="K19" s="488"/>
      <c r="L19" s="488">
        <v>5</v>
      </c>
      <c r="M19" s="490"/>
      <c r="N19" s="489"/>
      <c r="O19" s="489"/>
      <c r="P19" s="488"/>
      <c r="Q19" s="488">
        <v>2</v>
      </c>
      <c r="R19" s="490"/>
      <c r="S19" s="488"/>
      <c r="T19" s="488"/>
      <c r="U19" s="488"/>
      <c r="V19" s="488"/>
      <c r="W19" s="487"/>
      <c r="X19" s="488"/>
      <c r="Y19" s="487"/>
      <c r="Z19" s="488">
        <v>1</v>
      </c>
      <c r="AA19" s="488"/>
      <c r="AB19" s="490"/>
      <c r="AC19" s="488"/>
      <c r="AD19" s="488"/>
      <c r="AE19" s="490"/>
    </row>
    <row r="20" spans="1:31" x14ac:dyDescent="0.25">
      <c r="A20" s="481" t="s">
        <v>457</v>
      </c>
      <c r="B20" s="182" t="s">
        <v>451</v>
      </c>
      <c r="C20" s="482">
        <f>18.5+5</f>
        <v>23.5</v>
      </c>
      <c r="D20" s="482">
        <v>5</v>
      </c>
      <c r="E20" s="182">
        <v>4</v>
      </c>
      <c r="F20" s="491">
        <f>($C20-$D20)*$E20</f>
        <v>74</v>
      </c>
      <c r="G20" s="492">
        <f t="shared" si="7"/>
        <v>0.71621621621621623</v>
      </c>
      <c r="H20" s="493">
        <f t="shared" si="8"/>
        <v>53</v>
      </c>
      <c r="I20" s="494">
        <f t="shared" si="9"/>
        <v>5</v>
      </c>
      <c r="J20" s="495"/>
      <c r="K20" s="496"/>
      <c r="L20" s="488">
        <v>2</v>
      </c>
      <c r="M20" s="490"/>
      <c r="N20" s="489"/>
      <c r="O20" s="489"/>
      <c r="P20" s="488"/>
      <c r="Q20" s="488"/>
      <c r="R20" s="490">
        <v>2</v>
      </c>
      <c r="S20" s="488"/>
      <c r="T20" s="488"/>
      <c r="U20" s="488"/>
      <c r="V20" s="488"/>
      <c r="W20" s="487"/>
      <c r="X20" s="488"/>
      <c r="Y20" s="487">
        <v>1</v>
      </c>
      <c r="Z20" s="488"/>
      <c r="AA20" s="488"/>
      <c r="AB20" s="490"/>
      <c r="AC20" s="488"/>
      <c r="AD20" s="488"/>
      <c r="AE20" s="490"/>
    </row>
    <row r="21" spans="1:31" x14ac:dyDescent="0.25">
      <c r="A21" s="481" t="s">
        <v>459</v>
      </c>
      <c r="B21" s="182" t="s">
        <v>458</v>
      </c>
      <c r="C21" s="482">
        <v>12</v>
      </c>
      <c r="D21" s="482"/>
      <c r="E21" s="182">
        <v>7</v>
      </c>
      <c r="F21" s="491">
        <f t="shared" ref="F21:F26" si="10">($C21-$D21)*$E21</f>
        <v>84</v>
      </c>
      <c r="G21" s="492">
        <f t="shared" si="7"/>
        <v>0.66666666666666663</v>
      </c>
      <c r="H21" s="493">
        <f t="shared" si="8"/>
        <v>56</v>
      </c>
      <c r="I21" s="494">
        <f t="shared" si="9"/>
        <v>7</v>
      </c>
      <c r="J21" s="487">
        <v>7</v>
      </c>
      <c r="K21" s="488"/>
      <c r="L21" s="488"/>
      <c r="M21" s="490"/>
      <c r="N21" s="489"/>
      <c r="O21" s="489"/>
      <c r="P21" s="488"/>
      <c r="Q21" s="488"/>
      <c r="R21" s="490"/>
      <c r="S21" s="488"/>
      <c r="T21" s="488"/>
      <c r="U21" s="488"/>
      <c r="V21" s="488"/>
      <c r="W21" s="487"/>
      <c r="X21" s="488"/>
      <c r="Y21" s="487"/>
      <c r="Z21" s="488"/>
      <c r="AA21" s="488"/>
      <c r="AB21" s="490"/>
      <c r="AC21" s="488"/>
      <c r="AD21" s="488"/>
      <c r="AE21" s="490"/>
    </row>
    <row r="22" spans="1:31" x14ac:dyDescent="0.25">
      <c r="A22" s="481" t="s">
        <v>459</v>
      </c>
      <c r="B22" s="182" t="s">
        <v>451</v>
      </c>
      <c r="C22" s="482">
        <v>12</v>
      </c>
      <c r="D22" s="482"/>
      <c r="E22" s="182">
        <v>8</v>
      </c>
      <c r="F22" s="491">
        <f t="shared" si="10"/>
        <v>96</v>
      </c>
      <c r="G22" s="492">
        <f t="shared" si="7"/>
        <v>0.66666666666666663</v>
      </c>
      <c r="H22" s="493">
        <f t="shared" si="8"/>
        <v>64</v>
      </c>
      <c r="I22" s="494">
        <f t="shared" si="9"/>
        <v>8</v>
      </c>
      <c r="J22" s="487">
        <v>8</v>
      </c>
      <c r="K22" s="488"/>
      <c r="L22" s="488"/>
      <c r="M22" s="490"/>
      <c r="N22" s="489"/>
      <c r="O22" s="489"/>
      <c r="P22" s="488"/>
      <c r="Q22" s="488"/>
      <c r="R22" s="490"/>
      <c r="S22" s="488"/>
      <c r="T22" s="488"/>
      <c r="U22" s="488"/>
      <c r="V22" s="488"/>
      <c r="W22" s="487"/>
      <c r="X22" s="488"/>
      <c r="Y22" s="487"/>
      <c r="Z22" s="488"/>
      <c r="AA22" s="488"/>
      <c r="AB22" s="490"/>
      <c r="AC22" s="488"/>
      <c r="AD22" s="488"/>
      <c r="AE22" s="490"/>
    </row>
    <row r="23" spans="1:31" x14ac:dyDescent="0.25">
      <c r="A23" s="481" t="s">
        <v>460</v>
      </c>
      <c r="B23" s="182" t="s">
        <v>458</v>
      </c>
      <c r="C23" s="482">
        <v>12</v>
      </c>
      <c r="D23" s="482"/>
      <c r="E23" s="182">
        <v>6</v>
      </c>
      <c r="F23" s="491">
        <f t="shared" si="10"/>
        <v>72</v>
      </c>
      <c r="G23" s="492">
        <f t="shared" si="7"/>
        <v>0.66666666666666663</v>
      </c>
      <c r="H23" s="493">
        <f t="shared" si="8"/>
        <v>48</v>
      </c>
      <c r="I23" s="494">
        <f t="shared" si="9"/>
        <v>6</v>
      </c>
      <c r="J23" s="487">
        <v>1</v>
      </c>
      <c r="K23" s="488"/>
      <c r="L23" s="488"/>
      <c r="M23" s="490"/>
      <c r="N23" s="489"/>
      <c r="O23" s="489"/>
      <c r="P23" s="488"/>
      <c r="Q23" s="488"/>
      <c r="R23" s="490"/>
      <c r="S23" s="488">
        <v>5</v>
      </c>
      <c r="T23" s="488"/>
      <c r="U23" s="488"/>
      <c r="V23" s="488"/>
      <c r="W23" s="487"/>
      <c r="X23" s="488"/>
      <c r="Y23" s="487"/>
      <c r="Z23" s="488"/>
      <c r="AA23" s="488"/>
      <c r="AB23" s="490"/>
      <c r="AC23" s="488"/>
      <c r="AD23" s="488"/>
      <c r="AE23" s="490"/>
    </row>
    <row r="24" spans="1:31" x14ac:dyDescent="0.25">
      <c r="A24" s="481" t="s">
        <v>460</v>
      </c>
      <c r="B24" s="182" t="s">
        <v>451</v>
      </c>
      <c r="C24" s="482">
        <v>12</v>
      </c>
      <c r="D24" s="482"/>
      <c r="E24" s="182">
        <v>6</v>
      </c>
      <c r="F24" s="497">
        <f t="shared" si="10"/>
        <v>72</v>
      </c>
      <c r="G24" s="492">
        <f t="shared" si="7"/>
        <v>0.77777777777777779</v>
      </c>
      <c r="H24" s="493">
        <f t="shared" si="8"/>
        <v>56</v>
      </c>
      <c r="I24" s="494">
        <f t="shared" si="9"/>
        <v>6</v>
      </c>
      <c r="J24" s="487">
        <v>4</v>
      </c>
      <c r="K24" s="488">
        <v>2</v>
      </c>
      <c r="L24" s="488"/>
      <c r="M24" s="490"/>
      <c r="N24" s="489"/>
      <c r="O24" s="489"/>
      <c r="P24" s="488"/>
      <c r="Q24" s="488"/>
      <c r="R24" s="490"/>
      <c r="S24" s="488"/>
      <c r="T24" s="488"/>
      <c r="U24" s="488"/>
      <c r="V24" s="488"/>
      <c r="W24" s="487"/>
      <c r="X24" s="488"/>
      <c r="Y24" s="487"/>
      <c r="Z24" s="488"/>
      <c r="AA24" s="488"/>
      <c r="AB24" s="490"/>
      <c r="AC24" s="488"/>
      <c r="AD24" s="488"/>
      <c r="AE24" s="490"/>
    </row>
    <row r="25" spans="1:31" x14ac:dyDescent="0.25">
      <c r="A25" s="481" t="s">
        <v>461</v>
      </c>
      <c r="B25" s="182" t="s">
        <v>458</v>
      </c>
      <c r="C25" s="482">
        <v>12.3</v>
      </c>
      <c r="D25" s="482"/>
      <c r="E25" s="182">
        <v>4</v>
      </c>
      <c r="F25" s="491">
        <f t="shared" si="10"/>
        <v>49.2</v>
      </c>
      <c r="G25" s="492">
        <f t="shared" si="7"/>
        <v>0.71138211382113814</v>
      </c>
      <c r="H25" s="493">
        <f t="shared" si="8"/>
        <v>35</v>
      </c>
      <c r="I25" s="494">
        <f t="shared" si="9"/>
        <v>4</v>
      </c>
      <c r="J25" s="487">
        <v>1</v>
      </c>
      <c r="K25" s="488"/>
      <c r="L25" s="488"/>
      <c r="M25" s="490"/>
      <c r="N25" s="489"/>
      <c r="O25" s="489"/>
      <c r="P25" s="488"/>
      <c r="Q25" s="488"/>
      <c r="R25" s="490"/>
      <c r="S25" s="488"/>
      <c r="T25" s="488">
        <v>1</v>
      </c>
      <c r="U25" s="488">
        <v>1</v>
      </c>
      <c r="V25" s="488"/>
      <c r="W25" s="487"/>
      <c r="X25" s="488"/>
      <c r="Y25" s="487"/>
      <c r="Z25" s="488">
        <v>1</v>
      </c>
      <c r="AA25" s="488"/>
      <c r="AB25" s="490"/>
      <c r="AC25" s="488"/>
      <c r="AD25" s="488"/>
      <c r="AE25" s="490"/>
    </row>
    <row r="26" spans="1:31" x14ac:dyDescent="0.25">
      <c r="A26" s="481" t="s">
        <v>461</v>
      </c>
      <c r="B26" s="182" t="s">
        <v>451</v>
      </c>
      <c r="C26" s="482">
        <v>12</v>
      </c>
      <c r="D26" s="482"/>
      <c r="E26" s="182">
        <v>4</v>
      </c>
      <c r="F26" s="491">
        <f t="shared" si="10"/>
        <v>48</v>
      </c>
      <c r="G26" s="492">
        <f t="shared" si="7"/>
        <v>0.75</v>
      </c>
      <c r="H26" s="493">
        <f t="shared" si="8"/>
        <v>36</v>
      </c>
      <c r="I26" s="494">
        <f t="shared" si="9"/>
        <v>4</v>
      </c>
      <c r="J26" s="487">
        <v>1</v>
      </c>
      <c r="K26" s="488"/>
      <c r="L26" s="488"/>
      <c r="M26" s="490"/>
      <c r="N26" s="489"/>
      <c r="O26" s="489"/>
      <c r="P26" s="488"/>
      <c r="Q26" s="488"/>
      <c r="R26" s="490"/>
      <c r="S26" s="488"/>
      <c r="T26" s="488">
        <v>1</v>
      </c>
      <c r="U26" s="488">
        <v>1</v>
      </c>
      <c r="V26" s="488">
        <v>1</v>
      </c>
      <c r="W26" s="487"/>
      <c r="X26" s="488"/>
      <c r="Y26" s="487"/>
      <c r="Z26" s="488"/>
      <c r="AA26" s="488"/>
      <c r="AB26" s="490"/>
      <c r="AC26" s="488"/>
      <c r="AD26" s="488"/>
      <c r="AE26" s="490"/>
    </row>
    <row r="27" spans="1:31" x14ac:dyDescent="0.25">
      <c r="A27" s="481" t="s">
        <v>462</v>
      </c>
      <c r="B27" s="182" t="s">
        <v>458</v>
      </c>
      <c r="C27" s="482">
        <v>12.3</v>
      </c>
      <c r="D27" s="482"/>
      <c r="E27" s="182">
        <v>4</v>
      </c>
      <c r="F27" s="491">
        <f t="shared" ref="F27:F48" si="11">C27*E27</f>
        <v>49.2</v>
      </c>
      <c r="G27" s="492">
        <f t="shared" si="7"/>
        <v>0.57926829268292679</v>
      </c>
      <c r="H27" s="493">
        <f t="shared" si="8"/>
        <v>28.5</v>
      </c>
      <c r="I27" s="494">
        <f t="shared" si="9"/>
        <v>4</v>
      </c>
      <c r="J27" s="487">
        <v>1</v>
      </c>
      <c r="K27" s="488">
        <v>1</v>
      </c>
      <c r="L27" s="488"/>
      <c r="M27" s="490"/>
      <c r="N27" s="488"/>
      <c r="O27" s="488"/>
      <c r="P27" s="488"/>
      <c r="Q27" s="488"/>
      <c r="R27" s="490"/>
      <c r="S27" s="488"/>
      <c r="T27" s="488"/>
      <c r="U27" s="488"/>
      <c r="V27" s="488"/>
      <c r="W27" s="487"/>
      <c r="X27" s="488">
        <v>1</v>
      </c>
      <c r="Y27" s="487"/>
      <c r="Z27" s="488">
        <v>1</v>
      </c>
      <c r="AA27" s="488"/>
      <c r="AB27" s="490"/>
      <c r="AC27" s="488"/>
      <c r="AD27" s="488"/>
      <c r="AE27" s="490"/>
    </row>
    <row r="28" spans="1:31" x14ac:dyDescent="0.25">
      <c r="A28" s="481" t="s">
        <v>462</v>
      </c>
      <c r="B28" s="182" t="s">
        <v>451</v>
      </c>
      <c r="C28" s="482">
        <v>12.3</v>
      </c>
      <c r="D28" s="482"/>
      <c r="E28" s="182">
        <v>4</v>
      </c>
      <c r="F28" s="491">
        <f t="shared" si="11"/>
        <v>49.2</v>
      </c>
      <c r="G28" s="492">
        <f>IF(F28=0,0,H28/F28)</f>
        <v>0.68089430894308944</v>
      </c>
      <c r="H28" s="493">
        <f t="shared" si="8"/>
        <v>33.5</v>
      </c>
      <c r="I28" s="494">
        <f t="shared" si="9"/>
        <v>4</v>
      </c>
      <c r="J28" s="487"/>
      <c r="K28" s="488">
        <v>2</v>
      </c>
      <c r="L28" s="488"/>
      <c r="M28" s="490"/>
      <c r="N28" s="488"/>
      <c r="O28" s="488"/>
      <c r="P28" s="488"/>
      <c r="Q28" s="488"/>
      <c r="R28" s="490"/>
      <c r="S28" s="488"/>
      <c r="T28" s="488"/>
      <c r="U28" s="488"/>
      <c r="V28" s="488">
        <v>1</v>
      </c>
      <c r="W28" s="487">
        <v>1</v>
      </c>
      <c r="X28" s="488"/>
      <c r="Y28" s="487"/>
      <c r="Z28" s="488"/>
      <c r="AA28" s="488"/>
      <c r="AB28" s="490"/>
      <c r="AC28" s="488"/>
      <c r="AD28" s="488"/>
      <c r="AE28" s="490"/>
    </row>
    <row r="29" spans="1:31" x14ac:dyDescent="0.25">
      <c r="A29" s="481" t="s">
        <v>463</v>
      </c>
      <c r="B29" s="182" t="s">
        <v>458</v>
      </c>
      <c r="C29" s="482">
        <v>11</v>
      </c>
      <c r="D29" s="482"/>
      <c r="E29" s="182">
        <v>4</v>
      </c>
      <c r="F29" s="491">
        <f t="shared" si="11"/>
        <v>44</v>
      </c>
      <c r="G29" s="492">
        <f t="shared" si="7"/>
        <v>1.0340909090909092</v>
      </c>
      <c r="H29" s="493">
        <f t="shared" si="8"/>
        <v>45.5</v>
      </c>
      <c r="I29" s="494">
        <f t="shared" si="9"/>
        <v>4</v>
      </c>
      <c r="J29" s="487"/>
      <c r="K29" s="488">
        <v>2</v>
      </c>
      <c r="L29" s="488"/>
      <c r="M29" s="490"/>
      <c r="N29" s="488">
        <v>1</v>
      </c>
      <c r="O29" s="488"/>
      <c r="P29" s="488"/>
      <c r="Q29" s="488"/>
      <c r="R29" s="490"/>
      <c r="S29" s="488"/>
      <c r="T29" s="488"/>
      <c r="U29" s="488"/>
      <c r="V29" s="488">
        <v>1</v>
      </c>
      <c r="W29" s="487"/>
      <c r="X29" s="488"/>
      <c r="Y29" s="487"/>
      <c r="Z29" s="488"/>
      <c r="AA29" s="488"/>
      <c r="AB29" s="490"/>
      <c r="AC29" s="488"/>
      <c r="AD29" s="488"/>
      <c r="AE29" s="490"/>
    </row>
    <row r="30" spans="1:31" x14ac:dyDescent="0.25">
      <c r="A30" s="481" t="s">
        <v>463</v>
      </c>
      <c r="B30" s="182" t="s">
        <v>451</v>
      </c>
      <c r="C30" s="482">
        <v>17.3</v>
      </c>
      <c r="D30" s="482"/>
      <c r="E30" s="182">
        <v>4</v>
      </c>
      <c r="F30" s="491">
        <f t="shared" si="11"/>
        <v>69.2</v>
      </c>
      <c r="G30" s="492">
        <f t="shared" si="7"/>
        <v>1.1127167630057804</v>
      </c>
      <c r="H30" s="493">
        <f t="shared" si="8"/>
        <v>77</v>
      </c>
      <c r="I30" s="494">
        <f t="shared" si="9"/>
        <v>8</v>
      </c>
      <c r="J30" s="487">
        <v>3</v>
      </c>
      <c r="K30" s="488">
        <v>2</v>
      </c>
      <c r="L30" s="488"/>
      <c r="M30" s="490"/>
      <c r="N30" s="488">
        <v>1</v>
      </c>
      <c r="O30" s="488"/>
      <c r="P30" s="488"/>
      <c r="Q30" s="488"/>
      <c r="R30" s="490"/>
      <c r="S30" s="488"/>
      <c r="T30" s="488"/>
      <c r="U30" s="488"/>
      <c r="V30" s="488"/>
      <c r="W30" s="487"/>
      <c r="X30" s="488"/>
      <c r="Y30" s="487"/>
      <c r="Z30" s="488">
        <v>2</v>
      </c>
      <c r="AA30" s="488"/>
      <c r="AB30" s="490"/>
      <c r="AC30" s="488"/>
      <c r="AD30" s="488"/>
      <c r="AE30" s="490"/>
    </row>
    <row r="31" spans="1:31" x14ac:dyDescent="0.25">
      <c r="A31" s="481" t="s">
        <v>464</v>
      </c>
      <c r="B31" s="182"/>
      <c r="C31" s="482"/>
      <c r="D31" s="482">
        <v>15</v>
      </c>
      <c r="E31" s="182"/>
      <c r="F31" s="491">
        <f t="shared" si="11"/>
        <v>0</v>
      </c>
      <c r="G31" s="492">
        <f t="shared" si="7"/>
        <v>0</v>
      </c>
      <c r="H31" s="493">
        <f t="shared" si="8"/>
        <v>0</v>
      </c>
      <c r="I31" s="494">
        <f t="shared" si="9"/>
        <v>0</v>
      </c>
      <c r="J31" s="487"/>
      <c r="K31" s="488"/>
      <c r="L31" s="488"/>
      <c r="M31" s="490"/>
      <c r="N31" s="488"/>
      <c r="O31" s="488"/>
      <c r="P31" s="488"/>
      <c r="Q31" s="488"/>
      <c r="R31" s="490"/>
      <c r="S31" s="488"/>
      <c r="T31" s="488"/>
      <c r="U31" s="488"/>
      <c r="V31" s="488"/>
      <c r="W31" s="487"/>
      <c r="X31" s="488"/>
      <c r="Y31" s="487"/>
      <c r="Z31" s="488"/>
      <c r="AA31" s="488"/>
      <c r="AB31" s="490"/>
      <c r="AC31" s="488"/>
      <c r="AD31" s="488"/>
      <c r="AE31" s="490"/>
    </row>
    <row r="32" spans="1:31" x14ac:dyDescent="0.25">
      <c r="A32" s="481"/>
      <c r="B32" s="182"/>
      <c r="C32" s="482"/>
      <c r="D32" s="482"/>
      <c r="E32" s="182"/>
      <c r="F32" s="491">
        <f t="shared" si="11"/>
        <v>0</v>
      </c>
      <c r="G32" s="492">
        <f t="shared" si="7"/>
        <v>0</v>
      </c>
      <c r="H32" s="493">
        <f t="shared" si="8"/>
        <v>0</v>
      </c>
      <c r="I32" s="494">
        <f t="shared" si="9"/>
        <v>0</v>
      </c>
      <c r="J32" s="487"/>
      <c r="K32" s="488"/>
      <c r="L32" s="488"/>
      <c r="M32" s="490"/>
      <c r="N32" s="488"/>
      <c r="O32" s="488"/>
      <c r="P32" s="488"/>
      <c r="Q32" s="488"/>
      <c r="R32" s="490"/>
      <c r="S32" s="488"/>
      <c r="T32" s="488"/>
      <c r="U32" s="488"/>
      <c r="V32" s="488"/>
      <c r="W32" s="487"/>
      <c r="X32" s="488"/>
      <c r="Y32" s="487"/>
      <c r="Z32" s="488"/>
      <c r="AA32" s="488"/>
      <c r="AB32" s="490"/>
      <c r="AC32" s="488"/>
      <c r="AD32" s="488"/>
      <c r="AE32" s="490"/>
    </row>
    <row r="33" spans="1:31" x14ac:dyDescent="0.25">
      <c r="A33" s="481"/>
      <c r="B33" s="182"/>
      <c r="C33" s="482"/>
      <c r="D33" s="482"/>
      <c r="E33" s="182"/>
      <c r="F33" s="491">
        <f t="shared" si="11"/>
        <v>0</v>
      </c>
      <c r="G33" s="492">
        <f t="shared" si="7"/>
        <v>0</v>
      </c>
      <c r="H33" s="493">
        <f t="shared" si="8"/>
        <v>0</v>
      </c>
      <c r="I33" s="494">
        <f t="shared" si="9"/>
        <v>0</v>
      </c>
      <c r="J33" s="487"/>
      <c r="K33" s="488"/>
      <c r="L33" s="488"/>
      <c r="M33" s="490"/>
      <c r="N33" s="488"/>
      <c r="O33" s="488"/>
      <c r="P33" s="488"/>
      <c r="Q33" s="488"/>
      <c r="R33" s="490"/>
      <c r="S33" s="488"/>
      <c r="T33" s="488"/>
      <c r="U33" s="488"/>
      <c r="V33" s="488"/>
      <c r="W33" s="487"/>
      <c r="X33" s="488"/>
      <c r="Y33" s="487"/>
      <c r="Z33" s="488"/>
      <c r="AA33" s="488"/>
      <c r="AB33" s="490"/>
      <c r="AC33" s="488"/>
      <c r="AD33" s="488"/>
      <c r="AE33" s="490"/>
    </row>
    <row r="34" spans="1:31" x14ac:dyDescent="0.25">
      <c r="A34" s="481"/>
      <c r="B34" s="182"/>
      <c r="C34" s="482"/>
      <c r="D34" s="482"/>
      <c r="E34" s="182"/>
      <c r="F34" s="491">
        <f t="shared" si="11"/>
        <v>0</v>
      </c>
      <c r="G34" s="492">
        <f t="shared" si="7"/>
        <v>0</v>
      </c>
      <c r="H34" s="493">
        <f t="shared" si="8"/>
        <v>0</v>
      </c>
      <c r="I34" s="494">
        <f t="shared" si="9"/>
        <v>0</v>
      </c>
      <c r="J34" s="487"/>
      <c r="K34" s="488"/>
      <c r="L34" s="488"/>
      <c r="M34" s="490"/>
      <c r="N34" s="488"/>
      <c r="O34" s="488"/>
      <c r="P34" s="488"/>
      <c r="Q34" s="488"/>
      <c r="R34" s="490"/>
      <c r="S34" s="488"/>
      <c r="T34" s="488"/>
      <c r="U34" s="488"/>
      <c r="V34" s="488"/>
      <c r="W34" s="487"/>
      <c r="X34" s="488"/>
      <c r="Y34" s="487"/>
      <c r="Z34" s="488"/>
      <c r="AA34" s="488"/>
      <c r="AB34" s="490"/>
      <c r="AC34" s="488"/>
      <c r="AD34" s="488"/>
      <c r="AE34" s="490"/>
    </row>
    <row r="35" spans="1:31" x14ac:dyDescent="0.25">
      <c r="A35" s="481"/>
      <c r="B35" s="182"/>
      <c r="C35" s="482"/>
      <c r="D35" s="482"/>
      <c r="E35" s="182"/>
      <c r="F35" s="491">
        <f t="shared" si="11"/>
        <v>0</v>
      </c>
      <c r="G35" s="492">
        <f t="shared" si="7"/>
        <v>0</v>
      </c>
      <c r="H35" s="493">
        <f t="shared" si="8"/>
        <v>0</v>
      </c>
      <c r="I35" s="494">
        <f t="shared" si="9"/>
        <v>0</v>
      </c>
      <c r="J35" s="487"/>
      <c r="K35" s="488"/>
      <c r="L35" s="488"/>
      <c r="M35" s="490"/>
      <c r="N35" s="488"/>
      <c r="O35" s="488"/>
      <c r="P35" s="488"/>
      <c r="Q35" s="488"/>
      <c r="R35" s="490"/>
      <c r="S35" s="488"/>
      <c r="T35" s="488"/>
      <c r="U35" s="488"/>
      <c r="V35" s="488"/>
      <c r="W35" s="487"/>
      <c r="X35" s="488"/>
      <c r="Y35" s="487"/>
      <c r="Z35" s="488"/>
      <c r="AA35" s="488"/>
      <c r="AB35" s="490"/>
      <c r="AC35" s="488"/>
      <c r="AD35" s="488"/>
      <c r="AE35" s="490"/>
    </row>
    <row r="36" spans="1:31" x14ac:dyDescent="0.25">
      <c r="A36" s="481"/>
      <c r="B36" s="182"/>
      <c r="C36" s="482"/>
      <c r="D36" s="482"/>
      <c r="E36" s="182"/>
      <c r="F36" s="491">
        <f t="shared" si="11"/>
        <v>0</v>
      </c>
      <c r="G36" s="492">
        <f t="shared" si="7"/>
        <v>0</v>
      </c>
      <c r="H36" s="493">
        <f t="shared" si="8"/>
        <v>0</v>
      </c>
      <c r="I36" s="494">
        <f t="shared" si="9"/>
        <v>0</v>
      </c>
      <c r="J36" s="487"/>
      <c r="K36" s="488"/>
      <c r="L36" s="488"/>
      <c r="M36" s="490"/>
      <c r="N36" s="488"/>
      <c r="O36" s="488"/>
      <c r="P36" s="488"/>
      <c r="Q36" s="488"/>
      <c r="R36" s="490"/>
      <c r="S36" s="488"/>
      <c r="T36" s="488"/>
      <c r="U36" s="488"/>
      <c r="V36" s="488"/>
      <c r="W36" s="487"/>
      <c r="X36" s="488"/>
      <c r="Y36" s="487"/>
      <c r="Z36" s="488"/>
      <c r="AA36" s="488"/>
      <c r="AB36" s="490"/>
      <c r="AC36" s="488"/>
      <c r="AD36" s="488"/>
      <c r="AE36" s="490"/>
    </row>
    <row r="37" spans="1:31" x14ac:dyDescent="0.25">
      <c r="A37" s="481"/>
      <c r="B37" s="182"/>
      <c r="C37" s="482"/>
      <c r="D37" s="482"/>
      <c r="E37" s="182"/>
      <c r="F37" s="491">
        <f t="shared" si="11"/>
        <v>0</v>
      </c>
      <c r="G37" s="492">
        <f>IF(F37=0,0,H37/F37)</f>
        <v>0</v>
      </c>
      <c r="H37" s="493">
        <f t="shared" si="8"/>
        <v>0</v>
      </c>
      <c r="I37" s="494">
        <f t="shared" si="9"/>
        <v>0</v>
      </c>
      <c r="J37" s="487"/>
      <c r="K37" s="488"/>
      <c r="L37" s="488"/>
      <c r="M37" s="490"/>
      <c r="N37" s="488"/>
      <c r="O37" s="488"/>
      <c r="P37" s="488"/>
      <c r="Q37" s="488"/>
      <c r="R37" s="490"/>
      <c r="S37" s="488"/>
      <c r="T37" s="488"/>
      <c r="U37" s="488"/>
      <c r="V37" s="488"/>
      <c r="W37" s="487"/>
      <c r="X37" s="488"/>
      <c r="Y37" s="487"/>
      <c r="Z37" s="488"/>
      <c r="AA37" s="488"/>
      <c r="AB37" s="490"/>
      <c r="AC37" s="488"/>
      <c r="AD37" s="488"/>
      <c r="AE37" s="490"/>
    </row>
    <row r="38" spans="1:31" x14ac:dyDescent="0.25">
      <c r="A38" s="481"/>
      <c r="B38" s="182"/>
      <c r="C38" s="482"/>
      <c r="D38" s="482"/>
      <c r="E38" s="182"/>
      <c r="F38" s="491">
        <f t="shared" si="11"/>
        <v>0</v>
      </c>
      <c r="G38" s="492">
        <f t="shared" si="7"/>
        <v>0</v>
      </c>
      <c r="H38" s="493">
        <f t="shared" si="8"/>
        <v>0</v>
      </c>
      <c r="I38" s="494">
        <f t="shared" si="9"/>
        <v>0</v>
      </c>
      <c r="J38" s="487"/>
      <c r="K38" s="488"/>
      <c r="L38" s="488"/>
      <c r="M38" s="490"/>
      <c r="N38" s="488"/>
      <c r="O38" s="488"/>
      <c r="P38" s="488"/>
      <c r="Q38" s="488"/>
      <c r="R38" s="490"/>
      <c r="S38" s="488"/>
      <c r="T38" s="488"/>
      <c r="U38" s="488"/>
      <c r="V38" s="488"/>
      <c r="W38" s="487"/>
      <c r="X38" s="488"/>
      <c r="Y38" s="487"/>
      <c r="Z38" s="488"/>
      <c r="AA38" s="488"/>
      <c r="AB38" s="490"/>
      <c r="AC38" s="488"/>
      <c r="AD38" s="488"/>
      <c r="AE38" s="490"/>
    </row>
    <row r="39" spans="1:31" x14ac:dyDescent="0.25">
      <c r="A39" s="481"/>
      <c r="B39" s="182"/>
      <c r="C39" s="482"/>
      <c r="D39" s="482"/>
      <c r="E39" s="182"/>
      <c r="F39" s="491">
        <f t="shared" si="11"/>
        <v>0</v>
      </c>
      <c r="G39" s="492">
        <f t="shared" si="7"/>
        <v>0</v>
      </c>
      <c r="H39" s="493">
        <f t="shared" si="8"/>
        <v>0</v>
      </c>
      <c r="I39" s="494">
        <f t="shared" si="9"/>
        <v>0</v>
      </c>
      <c r="J39" s="487"/>
      <c r="K39" s="488"/>
      <c r="L39" s="488"/>
      <c r="M39" s="490"/>
      <c r="N39" s="488"/>
      <c r="O39" s="488"/>
      <c r="P39" s="488"/>
      <c r="Q39" s="488"/>
      <c r="R39" s="490"/>
      <c r="S39" s="488"/>
      <c r="T39" s="488"/>
      <c r="U39" s="488"/>
      <c r="V39" s="488"/>
      <c r="W39" s="487"/>
      <c r="X39" s="488"/>
      <c r="Y39" s="487"/>
      <c r="Z39" s="488"/>
      <c r="AA39" s="488"/>
      <c r="AB39" s="490"/>
      <c r="AC39" s="488"/>
      <c r="AD39" s="488"/>
      <c r="AE39" s="490"/>
    </row>
    <row r="40" spans="1:31" x14ac:dyDescent="0.25">
      <c r="A40" s="481"/>
      <c r="B40" s="182"/>
      <c r="C40" s="482"/>
      <c r="D40" s="482"/>
      <c r="E40" s="182"/>
      <c r="F40" s="491">
        <f t="shared" si="11"/>
        <v>0</v>
      </c>
      <c r="G40" s="492">
        <f t="shared" si="7"/>
        <v>0</v>
      </c>
      <c r="H40" s="493">
        <f t="shared" si="8"/>
        <v>0</v>
      </c>
      <c r="I40" s="494">
        <f t="shared" si="9"/>
        <v>0</v>
      </c>
      <c r="J40" s="487"/>
      <c r="K40" s="488"/>
      <c r="L40" s="488"/>
      <c r="M40" s="490"/>
      <c r="N40" s="488"/>
      <c r="O40" s="488"/>
      <c r="P40" s="488"/>
      <c r="Q40" s="488"/>
      <c r="R40" s="490"/>
      <c r="S40" s="488"/>
      <c r="T40" s="488"/>
      <c r="U40" s="488"/>
      <c r="V40" s="488"/>
      <c r="W40" s="487"/>
      <c r="X40" s="488"/>
      <c r="Y40" s="487"/>
      <c r="Z40" s="488"/>
      <c r="AA40" s="488"/>
      <c r="AB40" s="490"/>
      <c r="AC40" s="488"/>
      <c r="AD40" s="488"/>
      <c r="AE40" s="490"/>
    </row>
    <row r="41" spans="1:31" x14ac:dyDescent="0.25">
      <c r="A41" s="481"/>
      <c r="B41" s="182"/>
      <c r="C41" s="482"/>
      <c r="D41" s="482"/>
      <c r="E41" s="182"/>
      <c r="F41" s="491">
        <f t="shared" si="11"/>
        <v>0</v>
      </c>
      <c r="G41" s="492">
        <f t="shared" si="7"/>
        <v>0</v>
      </c>
      <c r="H41" s="493">
        <f t="shared" si="8"/>
        <v>0</v>
      </c>
      <c r="I41" s="494">
        <f t="shared" si="9"/>
        <v>0</v>
      </c>
      <c r="J41" s="487"/>
      <c r="K41" s="488"/>
      <c r="L41" s="488"/>
      <c r="M41" s="490"/>
      <c r="N41" s="488"/>
      <c r="O41" s="488"/>
      <c r="P41" s="488"/>
      <c r="Q41" s="488"/>
      <c r="R41" s="490"/>
      <c r="S41" s="488"/>
      <c r="T41" s="488"/>
      <c r="U41" s="488"/>
      <c r="V41" s="488"/>
      <c r="W41" s="487"/>
      <c r="X41" s="488"/>
      <c r="Y41" s="487"/>
      <c r="Z41" s="488"/>
      <c r="AA41" s="488"/>
      <c r="AB41" s="490"/>
      <c r="AC41" s="488"/>
      <c r="AD41" s="488"/>
      <c r="AE41" s="490"/>
    </row>
    <row r="42" spans="1:31" x14ac:dyDescent="0.25">
      <c r="A42" s="481"/>
      <c r="B42" s="182"/>
      <c r="C42" s="482"/>
      <c r="D42" s="482"/>
      <c r="E42" s="182"/>
      <c r="F42" s="491">
        <f t="shared" si="11"/>
        <v>0</v>
      </c>
      <c r="G42" s="492">
        <f t="shared" si="7"/>
        <v>0</v>
      </c>
      <c r="H42" s="493">
        <f t="shared" si="8"/>
        <v>0</v>
      </c>
      <c r="I42" s="494">
        <f t="shared" si="9"/>
        <v>0</v>
      </c>
      <c r="J42" s="487"/>
      <c r="K42" s="488"/>
      <c r="L42" s="488"/>
      <c r="M42" s="490"/>
      <c r="N42" s="488"/>
      <c r="O42" s="488"/>
      <c r="P42" s="488"/>
      <c r="Q42" s="488"/>
      <c r="R42" s="490"/>
      <c r="S42" s="488"/>
      <c r="T42" s="488"/>
      <c r="U42" s="488"/>
      <c r="V42" s="488"/>
      <c r="W42" s="487"/>
      <c r="X42" s="488"/>
      <c r="Y42" s="487"/>
      <c r="Z42" s="488"/>
      <c r="AA42" s="488"/>
      <c r="AB42" s="490"/>
      <c r="AC42" s="488"/>
      <c r="AD42" s="488"/>
      <c r="AE42" s="490"/>
    </row>
    <row r="43" spans="1:31" x14ac:dyDescent="0.25">
      <c r="A43" s="481"/>
      <c r="B43" s="182"/>
      <c r="C43" s="482"/>
      <c r="D43" s="482"/>
      <c r="E43" s="182"/>
      <c r="F43" s="491">
        <f t="shared" si="11"/>
        <v>0</v>
      </c>
      <c r="G43" s="492">
        <f t="shared" si="7"/>
        <v>0</v>
      </c>
      <c r="H43" s="493">
        <f t="shared" si="8"/>
        <v>0</v>
      </c>
      <c r="I43" s="494">
        <f t="shared" si="9"/>
        <v>0</v>
      </c>
      <c r="J43" s="487"/>
      <c r="K43" s="488"/>
      <c r="L43" s="488"/>
      <c r="M43" s="490"/>
      <c r="N43" s="488"/>
      <c r="O43" s="488"/>
      <c r="P43" s="488"/>
      <c r="Q43" s="488"/>
      <c r="R43" s="490"/>
      <c r="S43" s="488"/>
      <c r="T43" s="488"/>
      <c r="U43" s="488"/>
      <c r="V43" s="488"/>
      <c r="W43" s="487"/>
      <c r="X43" s="488"/>
      <c r="Y43" s="487"/>
      <c r="Z43" s="488"/>
      <c r="AA43" s="488"/>
      <c r="AB43" s="490"/>
      <c r="AC43" s="488"/>
      <c r="AD43" s="488"/>
      <c r="AE43" s="490"/>
    </row>
    <row r="44" spans="1:31" x14ac:dyDescent="0.25">
      <c r="A44" s="481"/>
      <c r="B44" s="182"/>
      <c r="C44" s="482"/>
      <c r="D44" s="482"/>
      <c r="E44" s="182"/>
      <c r="F44" s="491">
        <f t="shared" si="11"/>
        <v>0</v>
      </c>
      <c r="G44" s="492">
        <f t="shared" si="7"/>
        <v>0</v>
      </c>
      <c r="H44" s="493">
        <f t="shared" si="8"/>
        <v>0</v>
      </c>
      <c r="I44" s="494">
        <f t="shared" si="9"/>
        <v>0</v>
      </c>
      <c r="J44" s="487"/>
      <c r="K44" s="488"/>
      <c r="L44" s="488"/>
      <c r="M44" s="490"/>
      <c r="N44" s="488"/>
      <c r="O44" s="488"/>
      <c r="P44" s="488"/>
      <c r="Q44" s="488"/>
      <c r="R44" s="490"/>
      <c r="S44" s="488"/>
      <c r="T44" s="488"/>
      <c r="U44" s="488"/>
      <c r="V44" s="488"/>
      <c r="W44" s="487"/>
      <c r="X44" s="488"/>
      <c r="Y44" s="487"/>
      <c r="Z44" s="488"/>
      <c r="AA44" s="488"/>
      <c r="AB44" s="490"/>
      <c r="AC44" s="488"/>
      <c r="AD44" s="488"/>
      <c r="AE44" s="490"/>
    </row>
    <row r="45" spans="1:31" x14ac:dyDescent="0.25">
      <c r="A45" s="481"/>
      <c r="B45" s="182"/>
      <c r="C45" s="482"/>
      <c r="D45" s="482"/>
      <c r="E45" s="182"/>
      <c r="F45" s="491">
        <f t="shared" si="11"/>
        <v>0</v>
      </c>
      <c r="G45" s="492">
        <f t="shared" si="7"/>
        <v>0</v>
      </c>
      <c r="H45" s="493">
        <f t="shared" si="8"/>
        <v>0</v>
      </c>
      <c r="I45" s="494">
        <f t="shared" si="9"/>
        <v>0</v>
      </c>
      <c r="J45" s="487"/>
      <c r="K45" s="488"/>
      <c r="L45" s="488"/>
      <c r="M45" s="490"/>
      <c r="N45" s="488"/>
      <c r="O45" s="488"/>
      <c r="P45" s="488"/>
      <c r="Q45" s="488"/>
      <c r="R45" s="490"/>
      <c r="S45" s="488"/>
      <c r="T45" s="488"/>
      <c r="U45" s="488"/>
      <c r="V45" s="488"/>
      <c r="W45" s="487"/>
      <c r="X45" s="488"/>
      <c r="Y45" s="487"/>
      <c r="Z45" s="488"/>
      <c r="AA45" s="488"/>
      <c r="AB45" s="490"/>
      <c r="AC45" s="488"/>
      <c r="AD45" s="488"/>
      <c r="AE45" s="490"/>
    </row>
    <row r="46" spans="1:31" x14ac:dyDescent="0.25">
      <c r="A46" s="498"/>
      <c r="B46" s="499"/>
      <c r="C46" s="499"/>
      <c r="D46" s="499"/>
      <c r="E46" s="499"/>
      <c r="F46" s="491">
        <f t="shared" si="11"/>
        <v>0</v>
      </c>
      <c r="G46" s="492">
        <f t="shared" si="7"/>
        <v>0</v>
      </c>
      <c r="H46" s="493">
        <f t="shared" si="8"/>
        <v>0</v>
      </c>
      <c r="I46" s="494">
        <f t="shared" si="9"/>
        <v>0</v>
      </c>
      <c r="J46" s="487"/>
      <c r="K46" s="488"/>
      <c r="L46" s="488"/>
      <c r="M46" s="490"/>
      <c r="N46" s="488"/>
      <c r="O46" s="488"/>
      <c r="P46" s="488"/>
      <c r="Q46" s="488"/>
      <c r="R46" s="490"/>
      <c r="S46" s="488"/>
      <c r="T46" s="488"/>
      <c r="U46" s="488"/>
      <c r="V46" s="488"/>
      <c r="W46" s="487"/>
      <c r="X46" s="488"/>
      <c r="Y46" s="487"/>
      <c r="Z46" s="488"/>
      <c r="AA46" s="488"/>
      <c r="AB46" s="490"/>
      <c r="AC46" s="488"/>
      <c r="AD46" s="488"/>
      <c r="AE46" s="490"/>
    </row>
    <row r="47" spans="1:31" x14ac:dyDescent="0.25">
      <c r="A47" s="498"/>
      <c r="B47" s="499"/>
      <c r="C47" s="499"/>
      <c r="D47" s="499"/>
      <c r="E47" s="499"/>
      <c r="F47" s="491">
        <f t="shared" si="11"/>
        <v>0</v>
      </c>
      <c r="G47" s="492">
        <f t="shared" si="7"/>
        <v>0</v>
      </c>
      <c r="H47" s="493">
        <f t="shared" si="8"/>
        <v>0</v>
      </c>
      <c r="I47" s="494">
        <f t="shared" si="9"/>
        <v>0</v>
      </c>
      <c r="J47" s="487"/>
      <c r="K47" s="488"/>
      <c r="L47" s="488"/>
      <c r="M47" s="490"/>
      <c r="N47" s="488"/>
      <c r="O47" s="488"/>
      <c r="P47" s="488"/>
      <c r="Q47" s="488"/>
      <c r="R47" s="490"/>
      <c r="S47" s="488"/>
      <c r="T47" s="488"/>
      <c r="U47" s="488"/>
      <c r="V47" s="488"/>
      <c r="W47" s="487"/>
      <c r="X47" s="488"/>
      <c r="Y47" s="487"/>
      <c r="Z47" s="488"/>
      <c r="AA47" s="488"/>
      <c r="AB47" s="490"/>
      <c r="AC47" s="488"/>
      <c r="AD47" s="488"/>
      <c r="AE47" s="490"/>
    </row>
    <row r="48" spans="1:31" x14ac:dyDescent="0.25">
      <c r="A48" s="500"/>
      <c r="B48" s="501"/>
      <c r="C48" s="501"/>
      <c r="D48" s="501"/>
      <c r="E48" s="501"/>
      <c r="F48" s="502">
        <f t="shared" si="11"/>
        <v>0</v>
      </c>
      <c r="G48" s="503">
        <f t="shared" si="7"/>
        <v>0</v>
      </c>
      <c r="H48" s="510">
        <f t="shared" si="8"/>
        <v>0</v>
      </c>
      <c r="I48" s="504">
        <f t="shared" si="9"/>
        <v>0</v>
      </c>
      <c r="J48" s="505"/>
      <c r="K48" s="506"/>
      <c r="L48" s="506"/>
      <c r="M48" s="507"/>
      <c r="N48" s="506"/>
      <c r="O48" s="506"/>
      <c r="P48" s="506"/>
      <c r="Q48" s="506"/>
      <c r="R48" s="507"/>
      <c r="S48" s="506"/>
      <c r="T48" s="506"/>
      <c r="U48" s="506"/>
      <c r="V48" s="506"/>
      <c r="W48" s="505"/>
      <c r="X48" s="506"/>
      <c r="Y48" s="505"/>
      <c r="Z48" s="506"/>
      <c r="AA48" s="506"/>
      <c r="AB48" s="507"/>
      <c r="AC48" s="506"/>
      <c r="AD48" s="506"/>
      <c r="AE48" s="507"/>
    </row>
  </sheetData>
  <mergeCells count="6">
    <mergeCell ref="U11:V11"/>
    <mergeCell ref="A2:D2"/>
    <mergeCell ref="A4:D4"/>
    <mergeCell ref="A6:D6"/>
    <mergeCell ref="A7:D7"/>
    <mergeCell ref="U10:V10"/>
  </mergeCells>
  <conditionalFormatting sqref="E5:AA5">
    <cfRule type="expression" dxfId="1" priority="5">
      <formula>($W$9=3)</formula>
    </cfRule>
    <cfRule type="expression" dxfId="0" priority="6">
      <formula>($W$9=1)</formula>
    </cfRule>
  </conditionalFormatting>
  <dataValidations count="2">
    <dataValidation type="list" allowBlank="1" showInputMessage="1" showErrorMessage="1" sqref="U10:V10">
      <formula1>"Vlootplan,Vlootplan+correctie,Eigen"</formula1>
    </dataValidation>
    <dataValidation type="list" allowBlank="1" showInputMessage="1" showErrorMessage="1" sqref="B19:B45">
      <formula1>"Links,Rechts"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Lees mij eerst</vt:lpstr>
      <vt:lpstr>Kentallen</vt:lpstr>
      <vt:lpstr>Hulptabel</vt:lpstr>
      <vt:lpstr>Vlootplan</vt:lpstr>
      <vt:lpstr>Investeringsprognose</vt:lpstr>
      <vt:lpstr>Stellinglengte</vt:lpstr>
      <vt:lpstr>Aanschafbudget</vt:lpstr>
      <vt:lpstr>Deler</vt:lpstr>
      <vt:lpstr>jaar</vt:lpstr>
      <vt:lpstr>levensduur</vt:lpstr>
      <vt:lpstr>peiljaar</vt:lpstr>
      <vt:lpstr>Hulptabel!Print_Area</vt:lpstr>
      <vt:lpstr>Kentallen!Print_Area</vt:lpstr>
      <vt:lpstr>Vlootplan!Print_Area</vt:lpstr>
      <vt:lpstr>Hulptabel!Print_Titles</vt:lpstr>
      <vt:lpstr>Investeringsprognose!Print_Titles</vt:lpstr>
      <vt:lpstr>Kentallen!Print_Titles</vt:lpstr>
      <vt:lpstr>Reductie</vt:lpstr>
      <vt:lpstr>Tweedehands</vt:lpstr>
    </vt:vector>
  </TitlesOfParts>
  <Company>Getronics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jn0000409</dc:creator>
  <cp:lastModifiedBy>Jeroen Brinkman</cp:lastModifiedBy>
  <dcterms:created xsi:type="dcterms:W3CDTF">2012-01-07T21:09:42Z</dcterms:created>
  <dcterms:modified xsi:type="dcterms:W3CDTF">2017-06-24T12:02:27Z</dcterms:modified>
</cp:coreProperties>
</file>